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01b7055d77418e4/Documents/Downloads/"/>
    </mc:Choice>
  </mc:AlternateContent>
  <xr:revisionPtr revIDLastSave="2169" documentId="11_D1CB9CB1369D00D7A0FB4D4B7F695DCD47BEE7C2" xr6:coauthVersionLast="47" xr6:coauthVersionMax="47" xr10:uidLastSave="{7FF50C15-2211-4DD3-AA08-381552696BF0}"/>
  <bookViews>
    <workbookView xWindow="-110" yWindow="-110" windowWidth="19420" windowHeight="10300" tabRatio="500" xr2:uid="{00000000-000D-0000-FFFF-FFFF00000000}"/>
  </bookViews>
  <sheets>
    <sheet name="0 · Cover" sheetId="7" r:id="rId1"/>
    <sheet name="Transaction Data" sheetId="1" r:id="rId2"/>
    <sheet name="1 · Transaction Overview" sheetId="2" r:id="rId3"/>
    <sheet name="2 · Sources &amp; Uses" sheetId="3" r:id="rId4"/>
    <sheet name="3 · Operating Model" sheetId="4" r:id="rId5"/>
    <sheet name="4 · Debt Schedule &amp; FCF" sheetId="5" r:id="rId6"/>
    <sheet name="5 · Returns &amp; Sensitivities" sheetId="6" r:id="rId7"/>
  </sheets>
  <definedNames>
    <definedName name="_xlnm.Print_Area" localSheetId="0">'0 · Cover'!$A$1:$I$31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8" i="7" l="1"/>
  <c r="G28" i="7"/>
  <c r="F28" i="7"/>
  <c r="E28" i="7"/>
  <c r="D28" i="7"/>
  <c r="C28" i="7"/>
  <c r="B28" i="7"/>
  <c r="F22" i="7"/>
  <c r="F21" i="7"/>
  <c r="F20" i="7"/>
  <c r="F17" i="7"/>
  <c r="F16" i="7"/>
  <c r="F15" i="7"/>
  <c r="F14" i="7"/>
  <c r="F13" i="7"/>
  <c r="G10" i="7"/>
  <c r="F10" i="7"/>
  <c r="F9" i="7"/>
  <c r="F8" i="7"/>
  <c r="G7" i="7"/>
  <c r="F7" i="7"/>
  <c r="G6" i="7"/>
  <c r="F6" i="7"/>
  <c r="C24" i="7"/>
  <c r="C23" i="7"/>
  <c r="C22" i="7"/>
  <c r="C21" i="7"/>
  <c r="C18" i="7"/>
  <c r="C17" i="7"/>
  <c r="C16" i="7"/>
  <c r="C15" i="7"/>
  <c r="C14" i="7"/>
  <c r="C13" i="7"/>
  <c r="C9" i="7"/>
  <c r="C8" i="7"/>
  <c r="C7" i="7"/>
  <c r="C6" i="7"/>
  <c r="C52" i="6"/>
  <c r="D52" i="6" s="1"/>
  <c r="E52" i="6" s="1"/>
  <c r="C51" i="6"/>
  <c r="D51" i="6" s="1"/>
  <c r="E51" i="6" s="1"/>
  <c r="E50" i="6"/>
  <c r="D50" i="6"/>
  <c r="C50" i="6"/>
  <c r="G44" i="6"/>
  <c r="F44" i="6"/>
  <c r="E44" i="6"/>
  <c r="D44" i="6"/>
  <c r="C44" i="6"/>
  <c r="G43" i="6"/>
  <c r="F43" i="6"/>
  <c r="E43" i="6"/>
  <c r="D43" i="6"/>
  <c r="C43" i="6"/>
  <c r="G42" i="6"/>
  <c r="F42" i="6"/>
  <c r="E42" i="6"/>
  <c r="D42" i="6"/>
  <c r="C42" i="6"/>
  <c r="G41" i="6"/>
  <c r="F41" i="6"/>
  <c r="E41" i="6"/>
  <c r="D41" i="6"/>
  <c r="C41" i="6"/>
  <c r="G40" i="6"/>
  <c r="F40" i="6"/>
  <c r="E40" i="6"/>
  <c r="D40" i="6"/>
  <c r="C40" i="6"/>
  <c r="G39" i="6"/>
  <c r="F39" i="6"/>
  <c r="E39" i="6"/>
  <c r="D39" i="6"/>
  <c r="C39" i="6"/>
  <c r="G38" i="6"/>
  <c r="F38" i="6"/>
  <c r="E38" i="6"/>
  <c r="D38" i="6"/>
  <c r="C38" i="6"/>
  <c r="G37" i="6"/>
  <c r="F37" i="6"/>
  <c r="E37" i="6"/>
  <c r="D37" i="6"/>
  <c r="C37" i="6"/>
  <c r="G36" i="6"/>
  <c r="F36" i="6"/>
  <c r="E36" i="6"/>
  <c r="D36" i="6"/>
  <c r="G35" i="6"/>
  <c r="F35" i="6"/>
  <c r="E35" i="6"/>
  <c r="D35" i="6"/>
  <c r="C36" i="6"/>
  <c r="C35" i="6"/>
  <c r="C31" i="6"/>
  <c r="D31" i="6" s="1"/>
  <c r="E31" i="6" s="1"/>
  <c r="C30" i="6"/>
  <c r="D30" i="6" s="1"/>
  <c r="E30" i="6" s="1"/>
  <c r="C29" i="6"/>
  <c r="D29" i="6" s="1"/>
  <c r="E29" i="6" s="1"/>
  <c r="C28" i="6"/>
  <c r="D28" i="6" s="1"/>
  <c r="E28" i="6" s="1"/>
  <c r="C27" i="6"/>
  <c r="D27" i="6" s="1"/>
  <c r="E27" i="6" s="1"/>
  <c r="D26" i="6"/>
  <c r="E26" i="6" s="1"/>
  <c r="C26" i="6"/>
  <c r="C25" i="6"/>
  <c r="D25" i="6" s="1"/>
  <c r="E25" i="6" s="1"/>
  <c r="C24" i="6"/>
  <c r="D24" i="6" s="1"/>
  <c r="E24" i="6" s="1"/>
  <c r="C23" i="6"/>
  <c r="D23" i="6" s="1"/>
  <c r="E23" i="6" s="1"/>
  <c r="C22" i="6"/>
  <c r="D22" i="6" s="1"/>
  <c r="E22" i="6" s="1"/>
  <c r="C18" i="6"/>
  <c r="C17" i="6"/>
  <c r="C16" i="6"/>
  <c r="C15" i="6"/>
  <c r="C14" i="6"/>
  <c r="C13" i="6"/>
  <c r="C12" i="6"/>
  <c r="C11" i="6"/>
  <c r="C8" i="6"/>
  <c r="C64" i="5"/>
  <c r="C63" i="5"/>
  <c r="C62" i="5"/>
  <c r="G61" i="5"/>
  <c r="F61" i="5"/>
  <c r="E61" i="5"/>
  <c r="D61" i="5"/>
  <c r="G60" i="5"/>
  <c r="F60" i="5"/>
  <c r="E60" i="5"/>
  <c r="D60" i="5"/>
  <c r="G59" i="5"/>
  <c r="F59" i="5"/>
  <c r="E59" i="5"/>
  <c r="D59" i="5"/>
  <c r="G56" i="5"/>
  <c r="F56" i="5"/>
  <c r="E56" i="5"/>
  <c r="D56" i="5"/>
  <c r="G55" i="5"/>
  <c r="G57" i="5" s="1"/>
  <c r="F55" i="5"/>
  <c r="F57" i="5" s="1"/>
  <c r="E55" i="5"/>
  <c r="E57" i="5" s="1"/>
  <c r="D55" i="5"/>
  <c r="D57" i="5" s="1"/>
  <c r="D51" i="5"/>
  <c r="D52" i="5" s="1"/>
  <c r="E50" i="5" s="1"/>
  <c r="D46" i="5"/>
  <c r="D45" i="5"/>
  <c r="D47" i="5" s="1"/>
  <c r="E44" i="5" s="1"/>
  <c r="D40" i="5"/>
  <c r="D39" i="5"/>
  <c r="D41" i="5" s="1"/>
  <c r="E38" i="5" s="1"/>
  <c r="D31" i="5"/>
  <c r="D30" i="5"/>
  <c r="D32" i="5" s="1"/>
  <c r="D22" i="5"/>
  <c r="D21" i="5"/>
  <c r="D20" i="5"/>
  <c r="D23" i="5" s="1"/>
  <c r="D24" i="5" s="1"/>
  <c r="C61" i="5"/>
  <c r="C60" i="5"/>
  <c r="C59" i="5"/>
  <c r="G58" i="5"/>
  <c r="F58" i="5"/>
  <c r="E58" i="5"/>
  <c r="D58" i="5"/>
  <c r="C58" i="5"/>
  <c r="C57" i="5"/>
  <c r="C56" i="5"/>
  <c r="C55" i="5"/>
  <c r="C52" i="5"/>
  <c r="D50" i="5" s="1"/>
  <c r="C51" i="5"/>
  <c r="C50" i="5"/>
  <c r="C46" i="5"/>
  <c r="C45" i="5"/>
  <c r="C47" i="5" s="1"/>
  <c r="D44" i="5" s="1"/>
  <c r="C44" i="5"/>
  <c r="C39" i="5"/>
  <c r="C38" i="5"/>
  <c r="C31" i="5"/>
  <c r="G29" i="5"/>
  <c r="F29" i="5"/>
  <c r="E29" i="5"/>
  <c r="D29" i="5"/>
  <c r="C29" i="5"/>
  <c r="G28" i="5"/>
  <c r="F28" i="5"/>
  <c r="E28" i="5"/>
  <c r="D28" i="5"/>
  <c r="C28" i="5"/>
  <c r="G27" i="5"/>
  <c r="F27" i="5"/>
  <c r="E27" i="5"/>
  <c r="D27" i="5"/>
  <c r="C27" i="5"/>
  <c r="C22" i="5"/>
  <c r="C21" i="5"/>
  <c r="C23" i="5" s="1"/>
  <c r="C24" i="5" s="1"/>
  <c r="C20" i="5"/>
  <c r="G19" i="5"/>
  <c r="F19" i="5"/>
  <c r="E19" i="5"/>
  <c r="D19" i="5"/>
  <c r="C19" i="5"/>
  <c r="C16" i="5"/>
  <c r="C15" i="5"/>
  <c r="C14" i="5"/>
  <c r="C8" i="5"/>
  <c r="C28" i="4"/>
  <c r="C27" i="4"/>
  <c r="C26" i="4"/>
  <c r="C25" i="4"/>
  <c r="E13" i="4"/>
  <c r="F13" i="4" s="1"/>
  <c r="D22" i="4"/>
  <c r="C22" i="4"/>
  <c r="D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D13" i="4"/>
  <c r="C13" i="4"/>
  <c r="C34" i="3"/>
  <c r="C33" i="3"/>
  <c r="C32" i="3"/>
  <c r="C31" i="3"/>
  <c r="C29" i="3"/>
  <c r="C28" i="3"/>
  <c r="C27" i="3"/>
  <c r="C24" i="3"/>
  <c r="C23" i="3"/>
  <c r="C22" i="3"/>
  <c r="C21" i="3"/>
  <c r="C20" i="3"/>
  <c r="C16" i="3"/>
  <c r="C14" i="3"/>
  <c r="C13" i="3"/>
  <c r="C33" i="2"/>
  <c r="C32" i="2"/>
  <c r="C31" i="2"/>
  <c r="C30" i="2"/>
  <c r="C29" i="2"/>
  <c r="C26" i="2"/>
  <c r="C25" i="2"/>
  <c r="C24" i="2"/>
  <c r="C21" i="2"/>
  <c r="C20" i="2"/>
  <c r="C18" i="2"/>
  <c r="C17" i="2"/>
  <c r="C16" i="2"/>
  <c r="C15" i="2"/>
  <c r="C14" i="2"/>
  <c r="C11" i="2"/>
  <c r="C10" i="2"/>
  <c r="C9" i="2"/>
  <c r="C8" i="2"/>
  <c r="C7" i="2"/>
  <c r="C6" i="2"/>
  <c r="C54" i="1"/>
  <c r="C53" i="1"/>
  <c r="C50" i="1"/>
  <c r="C49" i="1"/>
  <c r="C46" i="1"/>
  <c r="C44" i="1"/>
  <c r="C43" i="1"/>
  <c r="C45" i="1" s="1"/>
  <c r="C47" i="1" s="1"/>
  <c r="C34" i="1"/>
  <c r="E22" i="5" l="1"/>
  <c r="E21" i="5"/>
  <c r="E31" i="5"/>
  <c r="E39" i="5" s="1"/>
  <c r="E20" i="5"/>
  <c r="D33" i="5"/>
  <c r="D34" i="5"/>
  <c r="D35" i="5"/>
  <c r="D25" i="5"/>
  <c r="D26" i="5"/>
  <c r="C25" i="5"/>
  <c r="C26" i="5" s="1"/>
  <c r="C30" i="5" s="1"/>
  <c r="F21" i="4"/>
  <c r="F17" i="4"/>
  <c r="F15" i="4"/>
  <c r="G13" i="4"/>
  <c r="F20" i="4"/>
  <c r="F14" i="4"/>
  <c r="E14" i="4"/>
  <c r="E21" i="4"/>
  <c r="E15" i="4"/>
  <c r="E17" i="4"/>
  <c r="E20" i="4"/>
  <c r="C15" i="3"/>
  <c r="C17" i="3" s="1"/>
  <c r="E23" i="5" l="1"/>
  <c r="E24" i="5" s="1"/>
  <c r="E25" i="5" s="1"/>
  <c r="E26" i="5" s="1"/>
  <c r="E30" i="5" s="1"/>
  <c r="E35" i="5" s="1"/>
  <c r="C32" i="5"/>
  <c r="C35" i="5"/>
  <c r="H13" i="4"/>
  <c r="G21" i="4"/>
  <c r="G20" i="4"/>
  <c r="G17" i="4"/>
  <c r="G15" i="4"/>
  <c r="G14" i="4"/>
  <c r="F22" i="4"/>
  <c r="F18" i="4"/>
  <c r="F19" i="4" s="1"/>
  <c r="F16" i="4"/>
  <c r="E22" i="4"/>
  <c r="E18" i="4"/>
  <c r="E19" i="4" s="1"/>
  <c r="E16" i="4"/>
  <c r="E32" i="5" l="1"/>
  <c r="C33" i="5"/>
  <c r="G22" i="4"/>
  <c r="G18" i="4"/>
  <c r="G19" i="4" s="1"/>
  <c r="G16" i="4"/>
  <c r="H21" i="4"/>
  <c r="H20" i="4"/>
  <c r="H17" i="4"/>
  <c r="H15" i="4"/>
  <c r="H14" i="4"/>
  <c r="E33" i="5" l="1"/>
  <c r="E40" i="5" s="1"/>
  <c r="E41" i="5" s="1"/>
  <c r="F38" i="5" s="1"/>
  <c r="C34" i="5"/>
  <c r="C40" i="5"/>
  <c r="C41" i="5" s="1"/>
  <c r="D38" i="5" s="1"/>
  <c r="H22" i="4"/>
  <c r="H18" i="4"/>
  <c r="H19" i="4" s="1"/>
  <c r="H16" i="4"/>
  <c r="F31" i="5" l="1"/>
  <c r="F39" i="5" s="1"/>
  <c r="F20" i="5"/>
  <c r="E34" i="5"/>
  <c r="E46" i="5" l="1"/>
  <c r="E45" i="5"/>
  <c r="E47" i="5" l="1"/>
  <c r="F44" i="5" s="1"/>
  <c r="E51" i="5"/>
  <c r="E52" i="5" s="1"/>
  <c r="F50" i="5" s="1"/>
  <c r="F22" i="5"/>
  <c r="F21" i="5"/>
  <c r="F23" i="5" s="1"/>
  <c r="F24" i="5" l="1"/>
  <c r="F25" i="5" s="1"/>
  <c r="F26" i="5" s="1"/>
  <c r="F30" i="5" s="1"/>
  <c r="F32" i="5" s="1"/>
  <c r="F35" i="5" l="1"/>
  <c r="F33" i="5"/>
  <c r="F40" i="5" s="1"/>
  <c r="F41" i="5" s="1"/>
  <c r="G38" i="5" s="1"/>
  <c r="F34" i="5" l="1"/>
  <c r="G31" i="5"/>
  <c r="G39" i="5" s="1"/>
  <c r="G20" i="5"/>
  <c r="F46" i="5" l="1"/>
  <c r="F45" i="5"/>
  <c r="F47" i="5" s="1"/>
  <c r="G44" i="5" s="1"/>
  <c r="F51" i="5" l="1"/>
  <c r="F52" i="5" s="1"/>
  <c r="G50" i="5" s="1"/>
  <c r="G22" i="5"/>
  <c r="G21" i="5"/>
  <c r="G23" i="5" l="1"/>
  <c r="G24" i="5" l="1"/>
  <c r="G25" i="5" s="1"/>
  <c r="G26" i="5" s="1"/>
  <c r="G30" i="5" s="1"/>
  <c r="G32" i="5" s="1"/>
  <c r="G35" i="5"/>
  <c r="G33" i="5" l="1"/>
  <c r="G40" i="5" s="1"/>
  <c r="G41" i="5" s="1"/>
  <c r="G34" i="5"/>
  <c r="G46" i="5" l="1"/>
  <c r="G45" i="5"/>
  <c r="G47" i="5" s="1"/>
  <c r="G51" i="5" l="1"/>
  <c r="G52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00000000-0006-0000-0000-000001000000}">
      <text>
        <r>
          <rPr>
            <sz val="10"/>
            <rFont val="Arial"/>
            <family val="2"/>
          </rPr>
          <t>$55.00 in cash per CBIZ share.
Source: Merger 8-K / GT press release, 28 Jul 2026.
https://www.sec.gov/Archives/edgar/data/944148/000119312526322225/d174772d8k.htm</t>
        </r>
      </text>
    </comment>
    <comment ref="C8" authorId="0" shapeId="0" xr:uid="{00000000-0006-0000-0000-000002000000}">
      <text>
        <r>
          <rPr>
            <sz val="10"/>
            <rFont val="Arial"/>
            <family val="2"/>
          </rPr>
          <t>Stated enterprise value of $5.0 billion (all-cash).
Source: Merger 8-K / GT press release.
https://www.sec.gov/Archives/edgar/data/944148/000119312526322225/d174772d8k.htm</t>
        </r>
      </text>
    </comment>
    <comment ref="C9" authorId="0" shapeId="0" xr:uid="{00000000-0006-0000-0000-000003000000}">
      <text>
        <r>
          <rPr>
            <sz val="10"/>
            <rFont val="Arial"/>
            <family val="2"/>
          </rPr>
          <t>~54% premium to CBIZ 30-day volume-weighted average price.
Source: Merger 8-K.
https://www.sec.gov/Archives/edgar/data/944148/000119312526322225/d174772d8k.htm</t>
        </r>
      </text>
    </comment>
    <comment ref="C10" authorId="0" shapeId="0" xr:uid="{00000000-0006-0000-0000-000004000000}">
      <text>
        <r>
          <rPr>
            <sz val="10"/>
            <rFont val="Arial"/>
            <family val="2"/>
          </rPr>
          <t>~17.8% premium to last closing price (per Reuters via deal coverage).</t>
        </r>
      </text>
    </comment>
    <comment ref="C11" authorId="0" shapeId="0" xr:uid="{00000000-0006-0000-0000-000005000000}">
      <text>
        <r>
          <rPr>
            <sz val="10"/>
            <rFont val="Arial"/>
            <family val="2"/>
          </rPr>
          <t>New Mountain Partners VII + third-party sources committed $5.2bn to fund the transaction.
Source: DEFA14A, 29 Jul 2026.
https://www.sec.gov/Archives/edgar/data/0000944148/000119312526324268/d127027ddefa14a.htm</t>
        </r>
      </text>
    </comment>
    <comment ref="C12" authorId="0" shapeId="0" xr:uid="{00000000-0006-0000-0000-000006000000}">
      <text>
        <r>
          <rPr>
            <sz val="10"/>
            <rFont val="Arial"/>
            <family val="2"/>
          </rPr>
          <t>CBIZ termination fee ~$107.5M.
Source: Merger 8-K.
https://www.sec.gov/Archives/edgar/data/944148/000119312526322225/d174772d8k.htm</t>
        </r>
      </text>
    </comment>
    <comment ref="C13" authorId="0" shapeId="0" xr:uid="{00000000-0006-0000-0000-000007000000}">
      <text>
        <r>
          <rPr>
            <sz val="10"/>
            <rFont val="Arial"/>
            <family val="2"/>
          </rPr>
          <t>Parent = Viking ParentCo; Merger Sub = Viking MergerCo. CBIZ survives as wholly owned sub; delisted from NYSE.</t>
        </r>
      </text>
    </comment>
    <comment ref="C18" authorId="0" shapeId="0" xr:uid="{00000000-0006-0000-0000-000008000000}">
      <text>
        <r>
          <rPr>
            <sz val="10"/>
            <rFont val="Arial"/>
            <family val="2"/>
          </rPr>
          <t>Total CBIZ revenue $2,757,991k.
Source: 10-K FY2025 / FY2025 results release.
https://www.sec.gov/Archives/edgar/data/944148/000094414826000038/cbz-20251231.htm</t>
        </r>
      </text>
    </comment>
    <comment ref="C19" authorId="0" shapeId="0" xr:uid="{00000000-0006-0000-0000-000009000000}">
      <text>
        <r>
          <rPr>
            <sz val="10"/>
            <rFont val="Arial"/>
            <family val="2"/>
          </rPr>
          <t>Adjusted EBITDA $446,898k (consolidated). Non-GAAP; excludes Transaction/integration costs, intangible amortization.
Source: FY2025 results release, GAAP reconciliation.
https://ir.cbiz.com/news-releases/news-release-details/cbiz-reports-fourth-quarter-and-full-year-2025-financial-results</t>
        </r>
      </text>
    </comment>
    <comment ref="C20" authorId="0" shapeId="0" xr:uid="{00000000-0006-0000-0000-00000A000000}">
      <text>
        <r>
          <rPr>
            <sz val="10"/>
            <rFont val="Arial"/>
            <family val="2"/>
          </rPr>
          <t>Operating income $234,010k (8.5% margin).
Source: FY2025 results release.
https://ir.cbiz.com/news-releases/news-release-details/cbiz-reports-fourth-quarter-and-full-year-2025-financial-results</t>
        </r>
      </text>
    </comment>
    <comment ref="C21" authorId="0" shapeId="0" xr:uid="{00000000-0006-0000-0000-00000B000000}">
      <text>
        <r>
          <rPr>
            <sz val="10"/>
            <rFont val="Arial"/>
            <family val="2"/>
          </rPr>
          <t>D&amp;A expense $98,270k (of which acquired-intangible amortization $74,904k).
Source: FY2025 results release, cash flow data.
https://ir.cbiz.com/news-releases/news-release-details/cbiz-reports-fourth-quarter-and-full-year-2025-financial-results</t>
        </r>
      </text>
    </comment>
    <comment ref="C22" authorId="0" shapeId="0" xr:uid="{00000000-0006-0000-0000-00000C000000}">
      <text>
        <r>
          <rPr>
            <sz val="10"/>
            <rFont val="Arial"/>
            <family val="2"/>
          </rPr>
          <t>Interest expense $107,215k FY2025 (vs $34,379k FY2024 — post-Marcum leverage).
Source: FY2025 results release.
https://ir.cbiz.com/news-releases/news-release-details/cbiz-reports-fourth-quarter-and-full-year-2025-financial-results</t>
        </r>
      </text>
    </comment>
    <comment ref="C23" authorId="0" shapeId="0" xr:uid="{00000000-0006-0000-0000-00000D000000}">
      <text>
        <r>
          <rPr>
            <sz val="10"/>
            <rFont val="Arial"/>
            <family val="2"/>
          </rPr>
          <t>Net income $115,444k; GAAP diluted EPS $1.83.
Source: FY2025 results release.
https://ir.cbiz.com/news-releases/news-release-details/cbiz-reports-fourth-quarter-and-full-year-2025-financial-results</t>
        </r>
      </text>
    </comment>
    <comment ref="C24" authorId="0" shapeId="0" xr:uid="{00000000-0006-0000-0000-00000E000000}">
      <text>
        <r>
          <rPr>
            <sz val="10"/>
            <rFont val="Arial"/>
            <family val="2"/>
          </rPr>
          <t>Net cash from operating activities $192,485k.
Source: FY2025 results release.
https://ir.cbiz.com/news-releases/news-release-details/cbiz-reports-fourth-quarter-and-full-year-2025-financial-results</t>
        </r>
      </text>
    </comment>
    <comment ref="C25" authorId="0" shapeId="0" xr:uid="{00000000-0006-0000-0000-00000F000000}">
      <text>
        <r>
          <rPr>
            <sz val="10"/>
            <rFont val="Arial"/>
            <family val="2"/>
          </rPr>
          <t>FCF $175,526k (OCF less $16,959k capex).
Source: FY2025 results release.
https://ir.cbiz.com/news-releases/news-release-details/cbiz-reports-fourth-quarter-and-full-year-2025-financial-results</t>
        </r>
      </text>
    </comment>
    <comment ref="C26" authorId="0" shapeId="0" xr:uid="{00000000-0006-0000-0000-000010000000}">
      <text>
        <r>
          <rPr>
            <sz val="10"/>
            <rFont val="Arial"/>
            <family val="2"/>
          </rPr>
          <t>~28.5% effective tax rate per 2026 outlook. Useful placeholder for the operating model.
Source: FY2025 results release, 2026 outlook.
https://ir.cbiz.com/news-releases/news-release-details/cbiz-reports-fourth-quarter-and-full-year-2025-financial-results</t>
        </r>
      </text>
    </comment>
    <comment ref="C29" authorId="0" shapeId="0" xr:uid="{00000000-0006-0000-0000-000011000000}">
      <text>
        <r>
          <rPr>
            <sz val="10"/>
            <rFont val="Arial"/>
            <family val="2"/>
          </rPr>
          <t>$1,472.4M principal under 2024 Credit Facilities ($1,400M Term Loan + $600M Revolver capacity).
Source: 10-K FY2025, Risk Factors / Debt.
https://www.sec.gov/Archives/edgar/data/944148/000094414826000038/cbz-20251231.htm</t>
        </r>
      </text>
    </comment>
    <comment ref="C30" authorId="0" shapeId="0" xr:uid="{00000000-0006-0000-0000-000012000000}">
      <text>
        <r>
          <rPr>
            <sz val="10"/>
            <rFont val="Arial"/>
            <family val="2"/>
          </rPr>
          <t>Current portion $66,372k + long-term $1,389,552k = $1,455,924k (net of deferred financing costs).
Source: FY2025 results release, select financial data.
https://ir.cbiz.com/news-releases/news-release-details/cbiz-reports-fourth-quarter-and-full-year-2025-financial-results</t>
        </r>
      </text>
    </comment>
    <comment ref="C31" authorId="0" shapeId="0" xr:uid="{00000000-0006-0000-0000-000013000000}">
      <text>
        <r>
          <rPr>
            <sz val="10"/>
            <rFont val="Arial"/>
            <family val="2"/>
          </rPr>
          <t>Cash &amp; cash equivalents $18,290k. Excludes restricted cash and client funds (see below).
Source: FY2025 results release, select financial data.
https://ir.cbiz.com/news-releases/news-release-details/cbiz-reports-fourth-quarter-and-full-year-2025-financial-results</t>
        </r>
      </text>
    </comment>
    <comment ref="C32" authorId="0" shapeId="0" xr:uid="{00000000-0006-0000-0000-000014000000}">
      <text>
        <r>
          <rPr>
            <sz val="10"/>
            <rFont val="Arial"/>
            <family val="2"/>
          </rPr>
          <t>Restricted cash $38,234k — not freely available; excluded from net debt.</t>
        </r>
      </text>
    </comment>
    <comment ref="C33" authorId="0" shapeId="0" xr:uid="{00000000-0006-0000-0000-000015000000}">
      <text>
        <r>
          <rPr>
            <sz val="10"/>
            <rFont val="Arial"/>
            <family val="2"/>
          </rPr>
          <t>Funds held for clients $207,037k, offset by client fund obligations $206,738k. Pass-through; excluded from net debt.</t>
        </r>
      </text>
    </comment>
    <comment ref="C37" authorId="0" shapeId="0" xr:uid="{00000000-0006-0000-0000-000016000000}">
      <text>
        <r>
          <rPr>
            <sz val="10"/>
            <rFont val="Arial"/>
            <family val="2"/>
          </rPr>
          <t>50,073,624 shares outstanding per 10-K cover page (20 Feb 2026). Basic — EXCLUDES undelivered Marcum stock consideration.
https://www.sec.gov/Archives/edgar/data/944148/000094414826000038/cbz-20251231.htm</t>
        </r>
      </text>
    </comment>
    <comment ref="C38" authorId="0" shapeId="0" xr:uid="{00000000-0006-0000-0000-000017000000}">
      <text>
        <r>
          <rPr>
            <sz val="10"/>
            <rFont val="Arial"/>
            <family val="2"/>
          </rPr>
          <t>54,380k shares outstanding on the year-end balance sheet.
Source: FY2025 results release, select financial data.
https://ir.cbiz.com/news-releases/news-release-details/cbiz-reports-fourth-quarter-and-full-year-2025-financial-results</t>
        </r>
      </text>
    </comment>
    <comment ref="C39" authorId="0" shapeId="0" xr:uid="{00000000-0006-0000-0000-000018000000}">
      <text>
        <r>
          <rPr>
            <sz val="10"/>
            <rFont val="Arial"/>
            <family val="2"/>
          </rPr>
          <t>63,240k diluted weighted-average shares FY2025. Reflects Marcum deferred stock consideration (shares delivered monthly over 36 months from 2 Jan 2025).
Source: FY2025 results release.
https://ir.cbiz.com/news-releases/news-release-details/cbiz-reports-fourth-quarter-and-full-year-2025-financial-results</t>
        </r>
      </text>
    </comment>
    <comment ref="C40" authorId="0" shapeId="0" xr:uid="{00000000-0006-0000-0000-000019000000}">
      <text>
        <r>
          <rPr>
            <sz val="10"/>
            <rFont val="Arial"/>
            <family val="2"/>
          </rPr>
          <t>~62M weighted-average fully diluted shares per 2026 outlook.
Source: FY2025 results release, 2026 outlook.
https://ir.cbiz.com/news-releases/news-release-details/cbiz-reports-fourth-quarter-and-full-year-2025-financial-results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Yirviel Somé</author>
  </authors>
  <commentList>
    <comment ref="C6" authorId="0" shapeId="0" xr:uid="{6AAF18EC-F82A-4296-BFB5-6ABB18ECD9F0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Entry leverage lever. 5.5x Adj. EBITDA of $446.9M sizes the new Term Loan at ~$2,458M. Typical for a sponsor-backed take-private of a recurring-revenue professional services platform; CBIZ already ran ~3.3x post-Marcum. Change this cell to re-lever the deal.</t>
        </r>
      </text>
    </comment>
    <comment ref="C7" authorId="0" shapeId="0" xr:uid="{D74EE3ED-9949-4A0F-8C58-2E4B9EA624BC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OID + arrangement/underwriting fees on new funded debt (Term Loan + revolver drawn). 2.5% is a market-standard placeholder for a broadly syndicated / private-credit unitranche take-private. Capitalized and amortized over the debt life in the model.</t>
        </r>
      </text>
    </comment>
    <comment ref="C8" authorId="0" shapeId="0" xr:uid="{7C8940AE-1509-4309-88B2-74D9C8FF28B0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M&amp;A advisory, legal, accounting, D&amp;O tail and other closing costs, expressed as % of the $5.0bn announced enterprise value. 1.5% (~$75M) is a reasonable placeholder pending the merger proxy fee disclosure.</t>
        </r>
      </text>
    </comment>
    <comment ref="C9" authorId="0" shapeId="0" xr:uid="{46F75072-B951-4FA2-8DD1-C1771FE3A0C2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Set to $0.0 — sponsors normally close with an undrawn revolver so the facility is fully available for post-close working capital and bolt-ons. Raise this to fund part of the purchase price with revolver capacity.</t>
        </r>
      </text>
    </comment>
    <comment ref="C10" authorId="0" shapeId="0" xr:uid="{670BB3A9-F523-4883-AA4D-13AD2A828D3E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Set to $0.0 — CBIZ holds only $18.3M of unrestricted cash (Transaction Data C31), immaterial to a $5.2bn financing and needed as opening operating cash. Restricted cash ($38.2M) and client funds ($207.0M) are not available.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Yirviel Somé</author>
  </authors>
  <commentList>
    <comment ref="D6" authorId="0" shapeId="0" xr:uid="{93590481-BA21-45B0-BB0E-D64CC0C89806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Revenue growth: 5.0% p.a. held flat across the hold period — organic growth for a recurring-revenue accounting/advisory platform, below CBIZ's recent Marcum-inflated reported growth and assuming no further large M&amp;A.</t>
        </r>
      </text>
    </comment>
    <comment ref="D7" authorId="0" shapeId="0" xr:uid="{ABF39731-D7D3-4092-BC08-CBD406B11FEB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Adj. EBITDA margin: builds from 16.2% to 17.4% (+30bps p.a.) — Marcum integration synergies, cost rationalization and operating leverage on a 16.2% FY2025A base (446.9 / 2,758.0).</t>
        </r>
      </text>
    </comment>
    <comment ref="D8" authorId="0" shapeId="0" xr:uid="{2E213530-F5EC-4D5D-88F2-0F49DD931326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D&amp;A at 3.5% of revenue — in line with FY2025A ($98.3M on $2,758.0M = 3.6%), dominated by acquired-intangible amortization from Marcum; held flat as a share of revenue.</t>
        </r>
      </text>
    </comment>
    <comment ref="D9" authorId="0" shapeId="0" xr:uid="{24604763-AF58-4464-AA2F-4FD897370E34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Capex at 0.6% of revenue — asset-light professional services model; FY2025A capex was $17.0M on $2,758.0M revenue (0.6%).</t>
        </r>
      </text>
    </comment>
    <comment ref="D10" authorId="0" shapeId="0" xr:uid="{D6BAAD4D-273A-4844-A892-5C79340A90AC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Incremental NWC at 8.0% of the change in revenue — growth in unbilled/receivables net of accrued compensation; a modest working-capital drag typical of a services firm with strong billing discipline.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Yirviel Somé</author>
  </authors>
  <commentList>
    <comment ref="C6" authorId="0" shapeId="0" xr:uid="{BB323616-5F64-4FF9-964B-4968F9928583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SOFR base rate of 4.00% — floating-rate benchmark for the new Term Loan B. Blue input: flex this to test a higher/lower rate environment over the 5-year hold. Held flat across FY2026E–FY2030E (no forward curve modelled).</t>
        </r>
      </text>
    </comment>
    <comment ref="C7" authorId="0" shapeId="0" xr:uid="{357B4A8B-FBC6-40C3-893C-BBE6584AFC62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Term Loan B credit spread of S+450bps — market-standard for a ~5.5x levered broadly-syndicated / private-credit take-private of a recurring-revenue professional services platform. Blue input.</t>
        </r>
      </text>
    </comment>
    <comment ref="C9" authorId="0" shapeId="0" xr:uid="{BEF34F3B-E231-4AF6-9232-FF8082F977F2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$600.0M revolver capacity — mirrors CBIZ's existing 2024 Credit Facilities revolver ('Transaction Data' C29 note). Undrawn at close per '2 · Sources &amp; Uses' C9, so it is a liquidity backstop rather than a funding source in the base case.</t>
        </r>
      </text>
    </comment>
    <comment ref="C10" authorId="0" shapeId="0" xr:uid="{84E5CB53-5177-4128-A8B8-42AF85D36260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50bps commitment fee charged on the UNDRAWN portion of the revolver. With the facility fully undrawn in the base case this is a flat $3.0M/yr cash cost (0.5% × $600.0M). Blue input.</t>
        </r>
      </text>
    </comment>
    <comment ref="C11" authorId="0" shapeId="0" xr:uid="{F262711D-D34F-4235-8DD3-DE9C7CEEDE5F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S+400bps on any drawn revolver balance — inside the TLB spread, as revolvers price tighter. Memo only: the revolver stays undrawn in the base case, so drawn interest is $0.0M every year.</t>
        </r>
      </text>
    </comment>
    <comment ref="C12" authorId="0" shapeId="0" xr:uid="{F0BF238B-DA4B-4281-85DE-9F8570FB7D7E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1.0% of the ORIGINAL Term Loan principal per year — standard TLB amortization. Flat dollar amount ($24.6M/yr = 1.0% × $2,458.0M), NOT a % of the declining balance.</t>
        </r>
      </text>
    </comment>
    <comment ref="C13" authorId="0" shapeId="0" xr:uid="{4985BF4E-1C84-42A6-B3DF-91654EE443CC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100% cash sweep — all free cash flow remaining after mandatory amortization is applied to optional Term Loan prepayment. Capped so total annual paydown never exceeds the opening Term Loan balance. Blue input: dial down to retain cash on the balance sheet.</t>
        </r>
      </text>
    </comment>
    <comment ref="C14" authorId="0" shapeId="0" xr:uid="{9E8F9B7B-0AE9-4A12-81DC-B10198A133B6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Link — 'Transaction Data' C26 (28.5%, CBIZ 2026 outlook effective tax rate). Applied to MAX(EBT, 0): no tax benefit is recognised on a loss year.</t>
        </r>
      </text>
    </comment>
    <comment ref="C15" authorId="0" shapeId="0" xr:uid="{42AFE429-7250-488D-B57F-C3D7075B9139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Link — 'Transaction Data' C31 ($18.3M unrestricted cash). Retained on the balance sheet at close because '2 · Sources &amp; Uses' C10 uses $0.0M of target cash to fund the transaction.</t>
        </r>
      </text>
    </comment>
    <comment ref="C16" authorId="0" shapeId="0" xr:uid="{83F744C3-B700-4965-8CCC-BB72BAA151BC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Link — '2 · Sources &amp; Uses' C20 ($2,458.0M) = 5.5x entry leverage × FY2025A Adj. EBITDA of $446.9M. This is the amortization base and the FY2026E opening balance.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Yirviel Somé</author>
  </authors>
  <commentList>
    <comment ref="C6" authorId="0" shapeId="0" xr:uid="{447CEDA4-8B86-4DE0-9129-EFC28C919EB0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Hold period: 5 years. Entry at close (FY2025A balance sheet), exit at the end of FY2030E — the last projected column in Tab 3 / Tab 4.</t>
        </r>
      </text>
    </comment>
    <comment ref="C7" authorId="0" shapeId="0" xr:uid="{4AAD53B8-1498-4408-A6C3-5DD13728CFC7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Exit multiple: 11.2x, set equal to the implied entry multiple ('Transaction Data' C54 = 11.2x). Multiple-neutral exit is the conservative base case — no multiple expansion is underwritten; all return comes from EBITDA growth and debt paydown.</t>
        </r>
      </text>
    </comment>
    <comment ref="B50" authorId="0" shapeId="0" xr:uid="{D027ADBB-359F-455C-8AE5-33DC1F734B52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Target IRR hurdle: 15% — low end of a large-cap sponsor's underwriting range for a stable, recurring-revenue services asset.</t>
        </r>
      </text>
    </comment>
    <comment ref="B51" authorId="0" shapeId="0" xr:uid="{B2AE9AFB-450F-465B-A9CD-5E0F0859ED0F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Target IRR hurdle: 20% — typical PE base-case underwriting hurdle.</t>
        </r>
      </text>
    </comment>
    <comment ref="B52" authorId="0" shapeId="0" xr:uid="{B78E9114-6E5F-41B3-B68E-EA952112769E}">
      <text>
        <r>
          <rPr>
            <b/>
            <sz val="9"/>
            <color indexed="81"/>
            <rFont val="Tahoma"/>
            <family val="2"/>
          </rPr>
          <t>Yirviel Somé:</t>
        </r>
        <r>
          <rPr>
            <sz val="9"/>
            <color indexed="81"/>
            <rFont val="Tahoma"/>
            <family val="2"/>
          </rPr>
          <t xml:space="preserve">
Target IRR hurdle: 25% — upside / IC-stretch case.</t>
        </r>
      </text>
    </comment>
  </commentList>
</comments>
</file>

<file path=xl/sharedStrings.xml><?xml version="1.0" encoding="utf-8"?>
<sst xmlns="http://schemas.openxmlformats.org/spreadsheetml/2006/main" count="505" uniqueCount="382">
  <si>
    <t>CBIZ, Inc.  —  Grant Thornton Advisors LBO</t>
  </si>
  <si>
    <t>Tab 1 — Transaction &amp; Source Data   |   US$ in millions unless noted   |   Announced 28 Jul 2026</t>
  </si>
  <si>
    <t>Legend:  BLUE = hardcoded input taken directly from a filing   ·   BLACK = live formula (recalculates)   ·   hover cells with a red mark for exact source</t>
  </si>
  <si>
    <t>Item</t>
  </si>
  <si>
    <t>Value</t>
  </si>
  <si>
    <t>Source</t>
  </si>
  <si>
    <t>1.  Transaction Terms</t>
  </si>
  <si>
    <t>Offer price per share (all-cash)</t>
  </si>
  <si>
    <t>Merger 8-K (28 Jul 2026)</t>
  </si>
  <si>
    <t>Announced enterprise value</t>
  </si>
  <si>
    <t>Premium to 30-day VWAP</t>
  </si>
  <si>
    <t>Premium to last close</t>
  </si>
  <si>
    <t>GT/CBIZ press release</t>
  </si>
  <si>
    <t>Committed financing to Parent (equity + debt)</t>
  </si>
  <si>
    <t>DEFA14A (29 Jul 2026)</t>
  </si>
  <si>
    <t>Company termination fee</t>
  </si>
  <si>
    <t>Consideration / structure</t>
  </si>
  <si>
    <t>All-cash take-private</t>
  </si>
  <si>
    <t>Go-shop period ends</t>
  </si>
  <si>
    <t>27 Aug 2026</t>
  </si>
  <si>
    <t>Expected close</t>
  </si>
  <si>
    <t>Q4 2026</t>
  </si>
  <si>
    <t>2.  Target Financials — FY2025 (year ended 31 Dec 2025)</t>
  </si>
  <si>
    <t>Total revenue</t>
  </si>
  <si>
    <t>CBIZ 10-K FY2025 (EDGAR)</t>
  </si>
  <si>
    <t>Adjusted EBITDA (non-GAAP)</t>
  </si>
  <si>
    <t>CBIZ Q4/FY2025 results</t>
  </si>
  <si>
    <t>GAAP operating income</t>
  </si>
  <si>
    <t>Depreciation &amp; amortization</t>
  </si>
  <si>
    <t>Interest expense</t>
  </si>
  <si>
    <t>Net income (GAAP)</t>
  </si>
  <si>
    <t>Operating cash flow</t>
  </si>
  <si>
    <t>Free cash flow</t>
  </si>
  <si>
    <t>Effective tax rate (2026 outlook)</t>
  </si>
  <si>
    <t>3.  Capitalization &amp; Net Debt (as of 31 Dec 2025)</t>
  </si>
  <si>
    <t>Gross debt — Term Loan + Revolver (principal)</t>
  </si>
  <si>
    <t>Debt carrying value (net of issuance costs)</t>
  </si>
  <si>
    <t>Cash &amp; cash equivalents (unrestricted)</t>
  </si>
  <si>
    <t>Restricted cash  (excluded from net debt)</t>
  </si>
  <si>
    <t>Funds held for clients  (excluded — pass-through)</t>
  </si>
  <si>
    <t>Net debt  =  gross debt − unrestricted cash</t>
  </si>
  <si>
    <t>Formula</t>
  </si>
  <si>
    <t>4.  Share Count — the reconciliation issue</t>
  </si>
  <si>
    <t>Basic shares out (10-K cover, 20 Feb 2026)</t>
  </si>
  <si>
    <t>Shares outstanding (balance sheet, 31 Dec 2025)</t>
  </si>
  <si>
    <t>Diluted weighted-avg shares (FY2025)</t>
  </si>
  <si>
    <t>Fully diluted shares (2026 outlook)</t>
  </si>
  <si>
    <t>5.  Entry Valuation Reconciliation  (anchored on announced $5.0bn EV)</t>
  </si>
  <si>
    <t>linked</t>
  </si>
  <si>
    <t>Less: net debt</t>
  </si>
  <si>
    <t>Implied equity value</t>
  </si>
  <si>
    <t>÷ Offer price per share</t>
  </si>
  <si>
    <t>Implied fully diluted shares (M)</t>
  </si>
  <si>
    <t>Cross-check — equity value on basic 50.07M shares</t>
  </si>
  <si>
    <t>Cross-check — equity value on 54.38M B/S shares</t>
  </si>
  <si>
    <t>6.  Implied Entry Multiples  (sanity check on $5.0bn)</t>
  </si>
  <si>
    <t>EV / FY2025 Revenue</t>
  </si>
  <si>
    <t>EV / FY2025 Adjusted EBITDA</t>
  </si>
  <si>
    <t>Note: The $5.0bn EV reconciles to ~64.5M fully diluted shares at $55 — consistent with CBIZ's ~63M diluted base (incl. Marcum deferred stock consideration), NOT the 50M basic cover figure. Exact option/RSU/Marcum-share treatment to be confirmed in the merger proxy (PREM14A/DEFM14A).</t>
  </si>
  <si>
    <t>CBIZ, Inc. (NYSE: CBZ)  —  Take-Private by Grant Thornton Advisors / New Mountain Capital</t>
  </si>
  <si>
    <t>Tab 1 — Transaction Overview  |  All-cash acquisition at $55.00 per share, $5.0bn enterprise value  |  US$ in millions unless noted  |  Announced 28 Jul 2026</t>
  </si>
  <si>
    <t>Legend:  BLUE = hardcoded input   ·   BLACK = live formula   ·   GREEN = link to "Transaction Data" tab.  All figures as-announced; no ability-to-pay solve on this page.</t>
  </si>
  <si>
    <t>1.  Transaction Summary</t>
  </si>
  <si>
    <t>Link — Transaction Data C7</t>
  </si>
  <si>
    <t>Link — Transaction Data C13</t>
  </si>
  <si>
    <t>Link — Transaction Data C8</t>
  </si>
  <si>
    <t>Link — Transaction Data C11</t>
  </si>
  <si>
    <t>Link — Transaction Data C15</t>
  </si>
  <si>
    <t>Link — Transaction Data C14</t>
  </si>
  <si>
    <t>2.  Entry Valuation  —  EV → net debt → implied equity → implied fully diluted shares</t>
  </si>
  <si>
    <t>Less: net debt (gross debt less unrestricted cash)</t>
  </si>
  <si>
    <t>Link — Transaction Data C34, sign-flipped</t>
  </si>
  <si>
    <t>=  Implied equity value</t>
  </si>
  <si>
    <t>÷  Offer price per share</t>
  </si>
  <si>
    <t>=  Implied fully diluted shares (M)</t>
  </si>
  <si>
    <t>Memo: equity value at 50.07M basic shares (10-K cover)</t>
  </si>
  <si>
    <t>Cross-check — understates vs $5.0bn EV</t>
  </si>
  <si>
    <t>Memo: equity value at 54.38M balance-sheet shares</t>
  </si>
  <si>
    <t>3.  Implied Entry Multiples  (on announced $5.0bn EV)</t>
  </si>
  <si>
    <t>EV / FY2025 total revenue</t>
  </si>
  <si>
    <t>Revenue $2,758.0M — Transaction Data C18</t>
  </si>
  <si>
    <t>Adj. EBITDA $446.9M — Transaction Data C19</t>
  </si>
  <si>
    <t>EV / FY2025 GAAP operating income</t>
  </si>
  <si>
    <t>Operating income $234.0M — Transaction Data C20</t>
  </si>
  <si>
    <t>4.  Premium Analysis</t>
  </si>
  <si>
    <t>Offer price per share</t>
  </si>
  <si>
    <t>Implied undisturbed 30-day VWAP  —  derived; confirm vs merger proxy</t>
  </si>
  <si>
    <t>Back-solved from offer ÷ (1 + 54.0% premium)</t>
  </si>
  <si>
    <t>Implied last close  —  derived; confirm vs merger proxy</t>
  </si>
  <si>
    <t>Back-solved from offer ÷ (1 + 17.8% premium)</t>
  </si>
  <si>
    <t>Link — Transaction Data C9</t>
  </si>
  <si>
    <t>Link — Transaction Data C10</t>
  </si>
  <si>
    <t>Note: This page is as-announced — the $55.00 offer and $5.0bn EV are sponsor-set facts. The implied 64.5M fully diluted share count (vs 50.07M basic / 54.38M balance-sheet) reflects Marcum deferred stock consideration; exact option/RSU treatment to be confirmed in the merger proxy (PREM14A/DEFM14A). Sources &amp; uses, operating model, debt schedule and returns follow on later tabs.</t>
  </si>
  <si>
    <t>Tab 2 — Sources &amp; Uses  |  As-announced take-private; new debt sized off leverage, sponsor equity is the plug  |  US$ in millions unless noted</t>
  </si>
  <si>
    <t>Legend:  BLUE = hardcoded assumption (lever)   ·   BLACK = live formula   ·   GREEN = link to "Transaction Data" / "1 · Transaction Overview".  The $5.2bn committed financing is a validation check, not an input.</t>
  </si>
  <si>
    <t>1.  Assumptions  —  transaction levers (change these)</t>
  </si>
  <si>
    <t>Basis / comment</t>
  </si>
  <si>
    <t>Entry leverage  (× FY2025 Adj. EBITDA)</t>
  </si>
  <si>
    <t>Blue input — drives new Term Loan size</t>
  </si>
  <si>
    <t>Financing fees  (% of new funded debt)</t>
  </si>
  <si>
    <t>Blue input — applied to funded debt only</t>
  </si>
  <si>
    <t>Advisory &amp; other transaction fees  (% of EV)</t>
  </si>
  <si>
    <t>Blue input — expensed at close, funded in Uses</t>
  </si>
  <si>
    <t>Revolver drawn at close</t>
  </si>
  <si>
    <t>Blue input — counted as funded debt for fee purposes</t>
  </si>
  <si>
    <t>Target balance-sheet cash used to fund  (else retained)</t>
  </si>
  <si>
    <t>Blue input — only $18.3M unrestricted cash available (Transaction Data C31)</t>
  </si>
  <si>
    <t>2.  Uses of Funds</t>
  </si>
  <si>
    <t>$M</t>
  </si>
  <si>
    <t>Purchase of CBIZ equity  (implied equity value @ $55.00/sh)</t>
  </si>
  <si>
    <t>Link — '1 · Transaction Overview' C16 (EV less net debt)</t>
  </si>
  <si>
    <t>Repay existing debt  (Term Loan + Revolver, gross principal)</t>
  </si>
  <si>
    <t>Link — 'Transaction Data' C29; change of control triggers repayment</t>
  </si>
  <si>
    <t>Financing fees  (OID + arrangement)</t>
  </si>
  <si>
    <t>= financing fee % × new funded debt (Term Loan + revolver drawn)</t>
  </si>
  <si>
    <t>Advisory &amp; other transaction fees</t>
  </si>
  <si>
    <t>= advisory fee % × announced EV ('Transaction Data' C8, $5,000.0M)</t>
  </si>
  <si>
    <t>=  TOTAL USES</t>
  </si>
  <si>
    <t>Formula — sum of uses</t>
  </si>
  <si>
    <t>3.  Sources of Funds</t>
  </si>
  <si>
    <t>New Term Loan  (sized off leverage)</t>
  </si>
  <si>
    <t>= entry leverage × FY2025 Adj. EBITDA ('Transaction Data' C19, $446.9M)</t>
  </si>
  <si>
    <t>= assumption C9 (undrawn at close)</t>
  </si>
  <si>
    <t>Target balance-sheet cash used</t>
  </si>
  <si>
    <t>= assumption C10; memo: only $18.3M unrestricted cash available ('Transaction Data' C31)</t>
  </si>
  <si>
    <t>Sponsor equity — New Mountain Capital  (PLUG)</t>
  </si>
  <si>
    <t>Plug = Total Uses less Term Loan, revolver and target cash</t>
  </si>
  <si>
    <t>=  TOTAL SOURCES</t>
  </si>
  <si>
    <t>Formula — sum of sources</t>
  </si>
  <si>
    <t>4.  Checks &amp; Memo</t>
  </si>
  <si>
    <t>Balance check:  Total Sources − Total Uses  (must = 0)</t>
  </si>
  <si>
    <t>Formula — turns red if the model does not balance</t>
  </si>
  <si>
    <t>New funded debt ÷ FY2025 Adj. EBITDA</t>
  </si>
  <si>
    <t>Ties back to the entry leverage input in C6</t>
  </si>
  <si>
    <t>Sponsor equity as % of total sources</t>
  </si>
  <si>
    <t>Equity cheque as a share of the capital structure</t>
  </si>
  <si>
    <t>Total financing required  (new debt + sponsor equity)</t>
  </si>
  <si>
    <t>Excludes target cash used (not an external financing source)</t>
  </si>
  <si>
    <t>Link — 'Transaction Data' C11 ($5,200.0M, DEFA14A) — validation, not an input</t>
  </si>
  <si>
    <t>Difference vs committed  ($M)</t>
  </si>
  <si>
    <t>Negative = modelled financing sits inside the committed envelope</t>
  </si>
  <si>
    <t>Difference vs committed  (%)</t>
  </si>
  <si>
    <t>Within a few % — build is consistent with the announced $5.2bn commitment</t>
  </si>
  <si>
    <t>Note: New debt is sized off a leverage assumption and sponsor equity is the balancing plug, so Sources always equal Uses by construction — the meaningful test is row 33/34 against the $5.2bn committed financing. Purchase price is the as-announced implied equity value at $55.00/share; existing debt is repaid at gross principal on change of control. Financing fees are charged on new funded debt only; advisory fees on announced EV. Operating model, debt schedule and returns follow on later tabs.</t>
  </si>
  <si>
    <t>Tab 3 — Operating Model  |  FY2025A actuals + 5-year projection (FY2026E–FY2030E), 5-year hold, FY2030E = exit year  |  US$ in millions unless noted</t>
  </si>
  <si>
    <t>Legend:  BLUE = editable assumption (one cell per projection year)   ·   BLACK = live formula   ·   GREEN = link to "Transaction Data".  Scope: operations only — stops at pre-financing operating cash flow. Interest, taxes, debt paydown and the cash sweep are built in Step 4 (Debt Schedule).</t>
  </si>
  <si>
    <t>1.  Assumptions  —  operating drivers (change these)</t>
  </si>
  <si>
    <t>FY2025A</t>
  </si>
  <si>
    <t>FY2026E</t>
  </si>
  <si>
    <t>FY2027E</t>
  </si>
  <si>
    <t>FY2028E</t>
  </si>
  <si>
    <t>FY2029E</t>
  </si>
  <si>
    <t>FY2030E</t>
  </si>
  <si>
    <t>Revenue growth %</t>
  </si>
  <si>
    <t>Blue input — organic-only growth, no bolt-on M&amp;A assumed</t>
  </si>
  <si>
    <t>Adj. EBITDA margin %</t>
  </si>
  <si>
    <t>Blue input — +30bps p.a. from Marcum integration / operating leverage</t>
  </si>
  <si>
    <t>D&amp;A  (% of revenue)</t>
  </si>
  <si>
    <t>Blue input — tracks FY2025A 3.6%; mostly acquired-intangible amortization</t>
  </si>
  <si>
    <t>Capex  (% of revenue)</t>
  </si>
  <si>
    <t>Blue input — asset-light; equals FY2025A capex intensity of 0.6%</t>
  </si>
  <si>
    <t>Incremental NWC  (% of Δ revenue)</t>
  </si>
  <si>
    <t>Blue input — receivables/unbilled growth net of accrued comp</t>
  </si>
  <si>
    <t>2.  Operating Model  —  pre-financing</t>
  </si>
  <si>
    <t>Revenue</t>
  </si>
  <si>
    <t>FY2025A = link 'Transaction Data' C18; thereafter prior year × (1 + growth %)</t>
  </si>
  <si>
    <t xml:space="preserve">     (memo)  Revenue growth %</t>
  </si>
  <si>
    <t>Memo check — recomputed off the revenue line, should equal row 6</t>
  </si>
  <si>
    <t>Adj. EBITDA</t>
  </si>
  <si>
    <t>FY2025A = link 'Transaction Data' C19 ($446.9M) as base check; thereafter margin % × revenue</t>
  </si>
  <si>
    <t xml:space="preserve">     (memo)  Adj. EBITDA margin %</t>
  </si>
  <si>
    <t>Memo — FY2025A implied margin is the anchor for the 16.2% FY2026E input</t>
  </si>
  <si>
    <t>Less:  D&amp;A</t>
  </si>
  <si>
    <t>FY2025A = link 'Transaction Data' C21 ($98.3M); thereafter D&amp;A % × revenue</t>
  </si>
  <si>
    <t>=  EBIT</t>
  </si>
  <si>
    <t>= Adj. EBITDA less D&amp;A (pre-interest, pre-tax)</t>
  </si>
  <si>
    <t xml:space="preserve">     (memo)  EBIT margin %</t>
  </si>
  <si>
    <t>Memo — EBIT / revenue</t>
  </si>
  <si>
    <t>Less:  Capex</t>
  </si>
  <si>
    <t>FY2025A = OCF less FCF ('Transaction Data' C24–C25, $17.0M); thereafter capex % × revenue</t>
  </si>
  <si>
    <t>Less:  Δ Net Working Capital</t>
  </si>
  <si>
    <t>= incremental-NWC % × (revenue − prior-year revenue); n/a in FY2025A (no prior year in model)</t>
  </si>
  <si>
    <t>=  PRE-FINANCING OPERATING CASH FLOW</t>
  </si>
  <si>
    <t>= Adj. EBITDA − capex − Δ NWC. Before interest, cash taxes and debt service — those come in Step 4.</t>
  </si>
  <si>
    <t>3.  Memo / Checks</t>
  </si>
  <si>
    <t>Revenue CAGR  (FY2025A → FY2030E)</t>
  </si>
  <si>
    <t>5-year compound growth on the revenue line</t>
  </si>
  <si>
    <t>Adj. EBITDA CAGR  (FY2025A → FY2030E)</t>
  </si>
  <si>
    <t>Outgrows revenue on the +120bps of margin expansion</t>
  </si>
  <si>
    <t>Cumulative pre-financing operating cash flow, FY2026E–FY2030E</t>
  </si>
  <si>
    <t>Cash available to service debt before interest and taxes — feeds the Step 4 sweep</t>
  </si>
  <si>
    <t>Exit-year (FY2030E) Adj. EBITDA</t>
  </si>
  <si>
    <t>→ exit-multiple base for Step 5</t>
  </si>
  <si>
    <t>Scope note:  this tab deliberately excludes interest expense, cash taxes, mandatory amortization, the revolver and the cash sweep. Those are driven by the capital structure set in "2 · Sources &amp; Uses" and are built in Step 4 — Debt Schedule.</t>
  </si>
  <si>
    <t>Tab 4 — Debt Schedule &amp; Levered Free Cash Flow  |  FY2026E–FY2030E  |  Cash interest computed on OPENING debt balances (no circularity, no iteration)  |  US$ in millions unless noted</t>
  </si>
  <si>
    <t>Legend:  BLUE = editable financing assumption   ·   BLACK = live formula   ·   GREEN = link to "Transaction Data" / "2 · Sources &amp; Uses" / "3 · Operating Model".  This tab completes the P&amp;L below EBIT (interest, cash taxes) and runs the Term Loan paydown, revolver and cash rollforward. Exit-year net debt feeds Step 5 (Returns).</t>
  </si>
  <si>
    <t>1.  Financing Assumptions  —  capital-structure levers (change these)</t>
  </si>
  <si>
    <t>SOFR  (base rate)</t>
  </si>
  <si>
    <t>Blue input — floating benchmark, held flat across the hold period</t>
  </si>
  <si>
    <t>Term Loan B spread  (over SOFR)</t>
  </si>
  <si>
    <t>Blue input — S+450bps, typical for a 5.5x levered sponsor TLB</t>
  </si>
  <si>
    <t>=  Term Loan all-in rate</t>
  </si>
  <si>
    <t>Formula — SOFR + TLB spread; applied to the OPENING Term Loan balance each year</t>
  </si>
  <si>
    <t>Revolver capacity</t>
  </si>
  <si>
    <t>Blue input — undrawn at close per '2 · Sources &amp; Uses' C9; liquidity backstop</t>
  </si>
  <si>
    <t>Revolver commitment fee  (on undrawn capacity)</t>
  </si>
  <si>
    <t>Blue input — 0.5% × undrawn capacity = $3.0M/yr cash cost in the base case</t>
  </si>
  <si>
    <t>Revolver spread  (over SOFR, on drawn balance)</t>
  </si>
  <si>
    <t>Blue input — memo; revolver stays undrawn in the base case, so drawn interest = $0.0M</t>
  </si>
  <si>
    <t>Mandatory amortization  (% of ORIGINAL Term Loan p.a.)</t>
  </si>
  <si>
    <t>Blue input — 1.0% of original principal, a flat $/yr (not off the declining balance)</t>
  </si>
  <si>
    <t>Cash sweep  (% of excess free cash flow)</t>
  </si>
  <si>
    <t>Blue input — 100% of excess FCF prepays the Term Loan; capped at the opening balance</t>
  </si>
  <si>
    <t>Cash tax rate</t>
  </si>
  <si>
    <t>Green link — 'Transaction Data' C26 (28.5%); applied to MAX(EBT, 0), no benefit on losses</t>
  </si>
  <si>
    <t>Opening cash at close</t>
  </si>
  <si>
    <t>Green link — 'Transaction Data' C31 ($18.3M); retained, as S&amp;U C10 uses $0.0M of target cash</t>
  </si>
  <si>
    <t>Original Term Loan principal  (at close)</t>
  </si>
  <si>
    <t>Green link — '2 · Sources &amp; Uses' C20 ($2,458.0M); amortization base and FY2026E opening balance</t>
  </si>
  <si>
    <t>2.  Levered Free Cash Flow  —  completes the P&amp;L below EBIT</t>
  </si>
  <si>
    <t>EBIT</t>
  </si>
  <si>
    <t>Green link — '3 · Operating Model' row 18 (Adj. EBITDA less D&amp;A)</t>
  </si>
  <si>
    <t>Less:  cash interest — Term Loan  (all-in rate × OPENING balance)</t>
  </si>
  <si>
    <t>= all-in rate (C8) × OPENING Term Loan balance (row 38) — opening, not average, so each year solves in sequence with no circularity</t>
  </si>
  <si>
    <t>Less:  revolver commitment fee  (on undrawn capacity)</t>
  </si>
  <si>
    <t>= commitment fee % × (capacity − opening drawn) = $3.0M/yr with the revolver undrawn</t>
  </si>
  <si>
    <t>Less:  revolver interest  (on drawn balance)</t>
  </si>
  <si>
    <t>= (SOFR + revolver spread) × OPENING drawn revolver; $0.0M in the base case</t>
  </si>
  <si>
    <t>=  Total cash interest</t>
  </si>
  <si>
    <t>Sum of Term Loan interest, commitment fee and drawn revolver interest</t>
  </si>
  <si>
    <t>=  EBT  (pre-tax income)</t>
  </si>
  <si>
    <t>= EBIT less total cash interest</t>
  </si>
  <si>
    <t>Less:  cash taxes</t>
  </si>
  <si>
    <t>= cash tax rate (C14) × MAX(EBT, 0) — no tax benefit recognised on a loss year</t>
  </si>
  <si>
    <t>=  Net income</t>
  </si>
  <si>
    <t>= EBT less cash taxes</t>
  </si>
  <si>
    <t>Add:  D&amp;A  (non-cash)</t>
  </si>
  <si>
    <t>Green link — '3 · Operating Model' row 17; added back as a non-cash charge</t>
  </si>
  <si>
    <t>Green link — '3 · Operating Model' row 20 (0.6% of revenue, asset-light)</t>
  </si>
  <si>
    <t>Green link — '3 · Operating Model' row 21 (8.0% of the change in revenue)</t>
  </si>
  <si>
    <t>=  FREE CASH FLOW BEFORE DEBT REPAYMENT</t>
  </si>
  <si>
    <t>= net income + D&amp;A − capex − ΔNWC.  After interest and cash taxes, before any debt service</t>
  </si>
  <si>
    <t>Less:  mandatory amortization  (1.0% of ORIGINAL Term Loan)</t>
  </si>
  <si>
    <t>= amort % (C12) × ORIGINAL principal (C16) — flat $24.6M/yr; capped at the opening balance</t>
  </si>
  <si>
    <t>=  Cash available for optional prepayment</t>
  </si>
  <si>
    <t>= FCF before debt repayment less mandatory amortization</t>
  </si>
  <si>
    <t>Less:  cash sweep  (optional Term Loan prepayment)</t>
  </si>
  <si>
    <t>= sweep % × MAX(cash available, 0), capped so mandatory + sweep never exceed the opening Term Loan balance</t>
  </si>
  <si>
    <t>=  NET CHANGE IN CASH</t>
  </si>
  <si>
    <t>= cash available for prepayment less the sweep; $0.0M while the sweep is 100% and the loan is outstanding</t>
  </si>
  <si>
    <t xml:space="preserve">     (memo)  Cross-check:  pre-financing op CF − interest − taxes − FCF  (must = 0)</t>
  </si>
  <si>
    <t>Tie-out to '3 · Operating Model' row 22: (Adj. EBITDA − capex − ΔNWC) − interest − cash taxes must equal FCF before debt repayment</t>
  </si>
  <si>
    <t>3.  Term Loan Rollforward</t>
  </si>
  <si>
    <t>Opening balance</t>
  </si>
  <si>
    <t>FY2026E = link '2 · Sources &amp; Uses' C20 via C16 ($2,458.0M); thereafter prior-year closing balance</t>
  </si>
  <si>
    <t>Less:  mandatory amortization</t>
  </si>
  <si>
    <t>= row 31</t>
  </si>
  <si>
    <t>Less:  cash sweep</t>
  </si>
  <si>
    <t>= row 33</t>
  </si>
  <si>
    <t>=  CLOSING BALANCE</t>
  </si>
  <si>
    <t>= opening less mandatory amortization less sweep; becomes next year's opening and next year's interest base</t>
  </si>
  <si>
    <t>4.  Revolver Rollforward</t>
  </si>
  <si>
    <t>Opening drawn balance</t>
  </si>
  <si>
    <t>FY2026E = link '2 · Sources &amp; Uses' C21 ($0.0M undrawn at close); thereafter prior-year closing</t>
  </si>
  <si>
    <t>Add:  draw  (if cash shortfall)</t>
  </si>
  <si>
    <t>= drawn only if opening cash + net change in cash would go negative; capped at undrawn capacity</t>
  </si>
  <si>
    <t>Less:  repayment  (from surplus cash)</t>
  </si>
  <si>
    <t>= repaid from any surplus cash, capped at the opening drawn balance</t>
  </si>
  <si>
    <t>=  CLOSING DRAWN BALANCE</t>
  </si>
  <si>
    <t>= opening + draws − repayments; stays $0.0M throughout in the base case (FCF always covers debt service)</t>
  </si>
  <si>
    <t>5.  Cash Rollforward</t>
  </si>
  <si>
    <t>Opening cash</t>
  </si>
  <si>
    <t>FY2026E = link 'Transaction Data' C31 via C15 ($18.3M retained at close); thereafter prior-year closing</t>
  </si>
  <si>
    <t>Add:  net change in cash</t>
  </si>
  <si>
    <t>= row 34 net change, plus revolver draws less revolver repayments</t>
  </si>
  <si>
    <t>=  CLOSING CASH</t>
  </si>
  <si>
    <t>= opening cash + net change; flat at $18.3M while the 100% sweep absorbs all excess FCF</t>
  </si>
  <si>
    <t>6.  Credit Metrics &amp; Memo</t>
  </si>
  <si>
    <t>Total debt  (Term Loan + revolver drawn)</t>
  </si>
  <si>
    <t>= closing Term Loan (row 41) + closing drawn revolver (row 47)</t>
  </si>
  <si>
    <t>Less:  cash</t>
  </si>
  <si>
    <t>= closing cash (row 52)</t>
  </si>
  <si>
    <t>=  NET DEBT</t>
  </si>
  <si>
    <t>= total debt less cash</t>
  </si>
  <si>
    <t xml:space="preserve">     (memo)  Adj. EBITDA</t>
  </si>
  <si>
    <t>Green link — '3 · Operating Model' row 15</t>
  </si>
  <si>
    <t>Net debt  ÷  Adj. EBITDA  (net leverage)</t>
  </si>
  <si>
    <t>De-levering path from 5.5x gross at entry ('2 · Sources &amp; Uses' C28) — driven by paydown and EBITDA growth</t>
  </si>
  <si>
    <t>Adj. EBITDA  ÷  cash interest  (coverage)</t>
  </si>
  <si>
    <t>= Adj. EBITDA ÷ total cash interest (row 23); rises as the loan amortizes</t>
  </si>
  <si>
    <t>Cumulative Term Loan paydown  (since close)</t>
  </si>
  <si>
    <t>= original principal (C16) less closing balance — mandatory amortization plus cumulative sweep</t>
  </si>
  <si>
    <t>Exit (FY2030E) net debt          → feeds Step 5 returns</t>
  </si>
  <si>
    <t>= FY2030E net debt (G57). Bridges exit enterprise value to exit equity value in Step 5 — Returns</t>
  </si>
  <si>
    <t>Exit (FY2030E) net leverage</t>
  </si>
  <si>
    <t>= FY2030E net debt ÷ FY2030E Adj. EBITDA; de-levered from 5.5x gross at entry</t>
  </si>
  <si>
    <t>Cumulative Term Loan paydown, FY2026E–FY2030E</t>
  </si>
  <si>
    <t>= original $2,458.0M principal less the FY2030E closing balance</t>
  </si>
  <si>
    <t>Mechanic note:  cash interest is charged on the OPENING (beginning-of-year) debt balance, not the average balance. This deliberately breaks the interest ↔ debt-paydown circularity, so every year solves in sequence with no iterative calculation enabled. The trade-off is that interest is modestly overstated in a de-levering year versus an average-balance convention. The revolver is undrawn throughout the base case — free cash flow covers mandatory amortization in every year — so the only revolver cost is the 0.5% commitment fee on the $600.0M undrawn capacity. With a 100% cash sweep, all excess free cash flow prepays the Term Loan and closing cash stays flat at the $18.3M retained at close.</t>
  </si>
  <si>
    <t>Tab 5 — Returns &amp; Sensitivities  |  Single entry / single exit, no interim dividends → IRR = MOIC^(1/hold) − 1  |  FY2030E exit, 5-year hold  |  US$ in millions unless noted</t>
  </si>
  <si>
    <t>Legend:  BLUE = editable assumption   ·   BLACK = live formula   ·   GREEN = link to another tab.  Exit net debt is held on the base-case paydown path from Tab 4; the sensitivity tables isolate exit valuation (multiple) and exit-year EBITDA.</t>
  </si>
  <si>
    <t>1.  Assumptions  —  exit case (change these)</t>
  </si>
  <si>
    <t>Hold period  (years)</t>
  </si>
  <si>
    <t>Blue input — matches the FY2030E exit column in Tabs 3 and 4</t>
  </si>
  <si>
    <t>Exit  EV / Adj. EBITDA  multiple</t>
  </si>
  <si>
    <t>Blue input — default is multiple-neutral (exit = entry), i.e. no multiple expansion underwritten</t>
  </si>
  <si>
    <t xml:space="preserve">     (memo)  Implied entry multiple</t>
  </si>
  <si>
    <t>Green link — 'Transaction Data' C54 (EV ÷ FY2025 Adj. EBITDA)</t>
  </si>
  <si>
    <t>2.  Returns Bridge  —  base case</t>
  </si>
  <si>
    <t>$M / x</t>
  </si>
  <si>
    <t>Entry equity  —  New Mountain sponsor cheque</t>
  </si>
  <si>
    <t>Green link — '2 · Sources &amp; Uses' C23 (equity plug at close)</t>
  </si>
  <si>
    <t>Exit-year  (FY2030E)  Adj. EBITDA</t>
  </si>
  <si>
    <t>Green link — '3 · Operating Model' H15 (FY2030E Adj. EBITDA)</t>
  </si>
  <si>
    <t>×  Exit  EV / EBITDA  multiple</t>
  </si>
  <si>
    <t>= exit multiple assumption (C7)</t>
  </si>
  <si>
    <t>=  Exit enterprise value</t>
  </si>
  <si>
    <t>= exit-year Adj. EBITDA × exit multiple</t>
  </si>
  <si>
    <t>Less:  exit net debt  (FY2030E)</t>
  </si>
  <si>
    <t>Green link — '4 · Debt Schedule &amp; FCF' G57 (total debt less cash at FY2030E)</t>
  </si>
  <si>
    <t>=  Exit equity value to sponsor</t>
  </si>
  <si>
    <t>= exit EV less exit net debt; no interim dividends, 100% of equity owned by the sponsor</t>
  </si>
  <si>
    <t>MOIC  (multiple of invested capital)</t>
  </si>
  <si>
    <t>= exit equity ÷ entry equity</t>
  </si>
  <si>
    <t>IRR  (5-year hold)</t>
  </si>
  <si>
    <t>= MOIC^(1 ÷ hold) − 1 — valid because there is a single entry and a single exit cash flow</t>
  </si>
  <si>
    <t>3.  One-Way Sensitivity  —  returns vs. exit multiple  (EBITDA and net debt held at base)</t>
  </si>
  <si>
    <t>Exit equity</t>
  </si>
  <si>
    <t>MOIC</t>
  </si>
  <si>
    <t>IRR</t>
  </si>
  <si>
    <t>Exit  EV / EBITDA  multiple</t>
  </si>
  <si>
    <t>Exit equity = multiple × $612.5M exit EBITDA − $1,135.0M exit net debt; MOIC = ÷ entry equity; IRR = MOIC^(1/5) − 1</t>
  </si>
  <si>
    <t>4.  Two-Way Sensitivity  —  IRR vs. exit multiple  ×  exit-year Adj. EBITDA</t>
  </si>
  <si>
    <t>Exit multiple  ↓      \      Exit-year Adj. EBITDA  →</t>
  </si>
  <si>
    <t xml:space="preserve">     (memo)  Exit-year Adj. EBITDA  ($M)</t>
  </si>
  <si>
    <t>Blue inputs — % shift applied to the base FY2030E Adj. EBITDA of $612.5M</t>
  </si>
  <si>
    <t>= base exit EBITDA (C12) × (1 + column shift)</t>
  </si>
  <si>
    <t>IRR = ((row multiple × column EBITDA − exit net debt) ÷ entry equity)^(1/hold) − 1; entry equity and exit net debt are absolute references held at base case</t>
  </si>
  <si>
    <t>Note:  Exit net debt held at base-case paydown; table isolates exit valuation × EBITDA.</t>
  </si>
  <si>
    <t>5.  “What Must Be True”  —  exit multiple required to hit a target IRR</t>
  </si>
  <si>
    <t>Req'd exit equity</t>
  </si>
  <si>
    <t>Req'd exit EV</t>
  </si>
  <si>
    <t>Req'd exit multiple</t>
  </si>
  <si>
    <t>Target IRR  over the 5-year hold</t>
  </si>
  <si>
    <t>Req'd exit equity = entry equity × (1 + target)^hold  ·  Req'd exit EV = + exit net debt  ·  Req'd multiple = ÷ exit-year Adj. EBITDA</t>
  </si>
  <si>
    <t>Read-through:  at the base FY2030E Adj. EBITDA of $612.5M and base-case net debt paydown, New Mountain must underwrite the exit multiple shown in column E to clear each hurdle — versus the 11.2x entry multiple.</t>
  </si>
  <si>
    <t>CBIZ, Inc. (NYSE: CBZ) — Take-Private LBO  |  Grant Thornton Advisors / New Mountain Capital</t>
  </si>
  <si>
    <t>As-announced reconstruction · US$ in millions · announced 28 Jul 2026 · 5-year hold to FY2030E</t>
  </si>
  <si>
    <t>▸  TRANSACTION SNAPSHOT</t>
  </si>
  <si>
    <t>Committed financing</t>
  </si>
  <si>
    <t>Structure</t>
  </si>
  <si>
    <t>▸  ENTRY VALUATION</t>
  </si>
  <si>
    <t>Less:  net debt</t>
  </si>
  <si>
    <t>EV / FY2025 Adj. EBITDA</t>
  </si>
  <si>
    <t>▸  FINANCING STRUCTURE</t>
  </si>
  <si>
    <t>New Term Loan</t>
  </si>
  <si>
    <t>Sponsor equity  (New Mountain)</t>
  </si>
  <si>
    <t>Entry leverage  (× Adj. EBITDA)</t>
  </si>
  <si>
    <t>Equity % of capitalization</t>
  </si>
  <si>
    <t>Entry / FY2025A</t>
  </si>
  <si>
    <t>Exit / FY2030E</t>
  </si>
  <si>
    <t>▸  OPERATING PLAN  (FY2025A → FY2030E)</t>
  </si>
  <si>
    <t>Revenue CAGR</t>
  </si>
  <si>
    <t>Adj. EBITDA CAGR</t>
  </si>
  <si>
    <t>Net leverage  (× Adj. EBITDA)</t>
  </si>
  <si>
    <t>▸  RETURNS — BASE CASE</t>
  </si>
  <si>
    <t>Entry equity  (sponsor cheque)</t>
  </si>
  <si>
    <t>Exit equity value</t>
  </si>
  <si>
    <t>Exit multiple  (assumed)</t>
  </si>
  <si>
    <t>▸  WHAT MUST BE TRUE</t>
  </si>
  <si>
    <t>Base-case IRR</t>
  </si>
  <si>
    <t>Req'd exit multiple for 20% IRR</t>
  </si>
  <si>
    <t>Implied multiple expansion  (turns)</t>
  </si>
  <si>
    <t>KEY ASSUMPTIONS  (levers)</t>
  </si>
  <si>
    <t>Revenue growth</t>
  </si>
  <si>
    <t>EBITDA margin (exit)</t>
  </si>
  <si>
    <t>Entry leverage</t>
  </si>
  <si>
    <t>TL all-in rate</t>
  </si>
  <si>
    <t>Cash sweep</t>
  </si>
  <si>
    <t>Exit multiple</t>
  </si>
  <si>
    <t>Hold period</t>
  </si>
  <si>
    <t>As-announced entry ($55.00 / $5.0bn EV, $5.2bn committed financing); operating, financing and exit assumptions are the analyst's own — to be confirmed against the merger proxy (PREM14A/DEFM14A) and Goldman Sachs fairness opinion.  Sources: CBIZ 10-K FY2025, Q4/FY2025 results, merger 8-K, DEFA14A.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</si>
</sst>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\$#,##0.00"/>
    <numFmt numFmtId="165" formatCode="\$#,##0"/>
    <numFmt numFmtId="166" formatCode="0.0%"/>
    <numFmt numFmtId="167" formatCode="\$#,##0.0"/>
    <numFmt numFmtId="168" formatCode="0.0\x"/>
    <numFmt numFmtId="169" formatCode="0.0&quot;x&quot;"/>
    <numFmt numFmtId="170" formatCode="\$#,##0.0;\(\$#,##0.0\)"/>
    <numFmt numFmtId="171" formatCode="&quot;$&quot;#,##0.0"/>
    <numFmt numFmtId="172" formatCode="&quot;$&quot;#,##0.0;\(&quot;$&quot;#,##0.0\);&quot;✓  0.0&quot;"/>
    <numFmt numFmtId="173" formatCode="&quot;$&quot;#,##0.0;\(&quot;$&quot;#,##0.0\)"/>
    <numFmt numFmtId="174" formatCode="0.0%;\(0.0%\)"/>
    <numFmt numFmtId="175" formatCode="&quot;$&quot;#,##0.0;\(&quot;$&quot;#,##0.0\);&quot;–&quot;"/>
    <numFmt numFmtId="176" formatCode="0.00&quot;x&quot;"/>
    <numFmt numFmtId="177" formatCode="\+0%;\-0%;&quot;Base&quot;"/>
    <numFmt numFmtId="178" formatCode="&quot;$&quot;#,##0.00"/>
    <numFmt numFmtId="179" formatCode="&quot;$&quot;#,##0.0;\(&quot;$&quot;#,##0.0\);&quot;-&quot;"/>
    <numFmt numFmtId="180" formatCode="#,##0.0"/>
    <numFmt numFmtId="181" formatCode="0.0&quot; yrs&quot;"/>
  </numFmts>
  <fonts count="31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3"/>
      <color rgb="FFFFFFFF"/>
      <name val="Arial"/>
      <family val="2"/>
    </font>
    <font>
      <i/>
      <sz val="9"/>
      <color rgb="FFFFFFFF"/>
      <name val="Arial"/>
      <family val="2"/>
    </font>
    <font>
      <i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i/>
      <sz val="8"/>
      <color rgb="FF80808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10"/>
      <color rgb="FF008000"/>
      <name val="Arial"/>
      <family val="2"/>
    </font>
    <font>
      <b/>
      <i/>
      <sz val="8"/>
      <color rgb="FFFFFFFF"/>
      <name val="Arial"/>
      <family val="2"/>
    </font>
    <font>
      <b/>
      <i/>
      <sz val="8"/>
      <color rgb="FF80808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808080"/>
      <name val="Arial"/>
      <family val="2"/>
    </font>
    <font>
      <sz val="9"/>
      <color theme="1"/>
      <name val="Arial"/>
      <family val="2"/>
    </font>
    <font>
      <b/>
      <sz val="14"/>
      <color rgb="FFFFFFFF"/>
      <name val="Arial"/>
      <family val="2"/>
    </font>
    <font>
      <sz val="10"/>
      <color rgb="FFD6DCE4"/>
      <name val="Arial"/>
      <family val="2"/>
    </font>
    <font>
      <b/>
      <sz val="9.5"/>
      <color rgb="FFFFFFFF"/>
      <name val="Arial"/>
      <family val="2"/>
    </font>
    <font>
      <sz val="9"/>
      <color rgb="FF333333"/>
      <name val="Arial"/>
      <family val="2"/>
    </font>
    <font>
      <sz val="9"/>
      <color rgb="FF008000"/>
      <name val="Arial"/>
      <family val="2"/>
    </font>
    <font>
      <i/>
      <sz val="9"/>
      <color rgb="FF1F3864"/>
      <name val="Arial"/>
      <family val="2"/>
    </font>
    <font>
      <b/>
      <sz val="9"/>
      <color rgb="FF008000"/>
      <name val="Arial"/>
      <family val="2"/>
    </font>
    <font>
      <b/>
      <sz val="9"/>
      <color rgb="FF333333"/>
      <name val="Arial"/>
      <family val="2"/>
    </font>
    <font>
      <b/>
      <sz val="8"/>
      <color rgb="FF1F3864"/>
      <name val="Arial"/>
      <family val="2"/>
    </font>
    <font>
      <b/>
      <sz val="10"/>
      <color rgb="FF008000"/>
      <name val="Arial"/>
      <family val="2"/>
    </font>
    <font>
      <i/>
      <sz val="7.5"/>
      <color rgb="FF7F7F7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C9A227"/>
        <bgColor rgb="FF99CC00"/>
      </patternFill>
    </fill>
    <fill>
      <patternFill patternType="solid">
        <fgColor rgb="FF1F2A44"/>
        <bgColor indexed="64"/>
      </patternFill>
    </fill>
    <fill>
      <patternFill patternType="solid">
        <fgColor rgb="FFC9A22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1F3864"/>
      </bottom>
      <diagonal/>
    </border>
    <border>
      <left/>
      <right/>
      <top/>
      <bottom style="thin">
        <color rgb="FFBF9000"/>
      </bottom>
      <diagonal/>
    </border>
    <border>
      <left style="thin">
        <color rgb="FFBF9000"/>
      </left>
      <right/>
      <top/>
      <bottom style="thin">
        <color rgb="FFBF9000"/>
      </bottom>
      <diagonal/>
    </border>
    <border>
      <left style="thin">
        <color rgb="FFBF9000"/>
      </left>
      <right/>
      <top/>
      <bottom/>
      <diagonal/>
    </border>
    <border>
      <left/>
      <right style="thin">
        <color rgb="FFBF9000"/>
      </right>
      <top/>
      <bottom/>
      <diagonal/>
    </border>
    <border>
      <left/>
      <right style="thin">
        <color rgb="FFBF9000"/>
      </right>
      <top/>
      <bottom style="thin">
        <color rgb="FFBF9000"/>
      </bottom>
      <diagonal/>
    </border>
    <border>
      <left/>
      <right/>
      <top style="thin">
        <color rgb="FFBFBFBF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7" fillId="0" borderId="1" xfId="0" applyFont="1" applyBorder="1"/>
    <xf numFmtId="164" fontId="8" fillId="0" borderId="1" xfId="0" applyNumberFormat="1" applyFont="1" applyBorder="1" applyAlignment="1">
      <alignment horizontal="right"/>
    </xf>
    <xf numFmtId="0" fontId="9" fillId="0" borderId="1" xfId="0" applyFont="1" applyBorder="1"/>
    <xf numFmtId="165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5" fillId="0" borderId="1" xfId="0" applyFont="1" applyBorder="1"/>
    <xf numFmtId="167" fontId="5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/>
    </xf>
    <xf numFmtId="0" fontId="10" fillId="0" borderId="0" xfId="0" applyFont="1"/>
    <xf numFmtId="0" fontId="12" fillId="0" borderId="0" xfId="0" applyFont="1" applyAlignment="1">
      <alignment horizontal="left"/>
    </xf>
    <xf numFmtId="0" fontId="6" fillId="6" borderId="0" xfId="0" applyFont="1" applyFill="1" applyAlignment="1">
      <alignment horizontal="left"/>
    </xf>
    <xf numFmtId="0" fontId="10" fillId="0" borderId="0" xfId="0" applyFont="1" applyAlignment="1">
      <alignment horizontal="right"/>
    </xf>
    <xf numFmtId="0" fontId="6" fillId="6" borderId="0" xfId="0" applyFont="1" applyFill="1" applyAlignment="1">
      <alignment horizontal="right"/>
    </xf>
    <xf numFmtId="0" fontId="14" fillId="6" borderId="0" xfId="0" applyFont="1" applyFill="1" applyAlignment="1">
      <alignment horizontal="left"/>
    </xf>
    <xf numFmtId="0" fontId="9" fillId="0" borderId="0" xfId="0" applyFont="1"/>
    <xf numFmtId="0" fontId="15" fillId="6" borderId="0" xfId="0" applyFont="1" applyFill="1" applyAlignment="1">
      <alignment horizontal="left"/>
    </xf>
    <xf numFmtId="0" fontId="10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9" fillId="0" borderId="2" xfId="0" applyFont="1" applyBorder="1"/>
    <xf numFmtId="0" fontId="13" fillId="0" borderId="2" xfId="0" applyFont="1" applyBorder="1" applyAlignment="1">
      <alignment horizontal="right"/>
    </xf>
    <xf numFmtId="167" fontId="13" fillId="0" borderId="2" xfId="0" applyNumberFormat="1" applyFont="1" applyBorder="1" applyAlignment="1">
      <alignment horizontal="right"/>
    </xf>
    <xf numFmtId="0" fontId="11" fillId="0" borderId="2" xfId="0" quotePrefix="1" applyFont="1" applyBorder="1"/>
    <xf numFmtId="167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167" fontId="7" fillId="0" borderId="2" xfId="0" applyNumberFormat="1" applyFont="1" applyBorder="1" applyAlignment="1">
      <alignment horizontal="right"/>
    </xf>
    <xf numFmtId="0" fontId="11" fillId="0" borderId="2" xfId="0" applyFont="1" applyBorder="1"/>
    <xf numFmtId="169" fontId="5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6" fontId="13" fillId="0" borderId="2" xfId="0" applyNumberFormat="1" applyFont="1" applyBorder="1" applyAlignment="1">
      <alignment horizontal="right"/>
    </xf>
    <xf numFmtId="170" fontId="13" fillId="0" borderId="2" xfId="0" applyNumberFormat="1" applyFont="1" applyBorder="1" applyAlignment="1">
      <alignment horizontal="right"/>
    </xf>
    <xf numFmtId="169" fontId="8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171" fontId="8" fillId="0" borderId="2" xfId="0" applyNumberFormat="1" applyFont="1" applyBorder="1" applyAlignment="1">
      <alignment horizontal="right"/>
    </xf>
    <xf numFmtId="171" fontId="13" fillId="0" borderId="2" xfId="0" applyNumberFormat="1" applyFont="1" applyBorder="1" applyAlignment="1">
      <alignment horizontal="right"/>
    </xf>
    <xf numFmtId="171" fontId="7" fillId="0" borderId="2" xfId="0" applyNumberFormat="1" applyFont="1" applyBorder="1" applyAlignment="1">
      <alignment horizontal="right"/>
    </xf>
    <xf numFmtId="0" fontId="9" fillId="0" borderId="2" xfId="0" quotePrefix="1" applyFont="1" applyBorder="1"/>
    <xf numFmtId="171" fontId="5" fillId="0" borderId="2" xfId="0" applyNumberFormat="1" applyFont="1" applyBorder="1" applyAlignment="1">
      <alignment horizontal="right"/>
    </xf>
    <xf numFmtId="172" fontId="5" fillId="0" borderId="2" xfId="0" applyNumberFormat="1" applyFont="1" applyBorder="1" applyAlignment="1">
      <alignment horizontal="right"/>
    </xf>
    <xf numFmtId="169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173" fontId="7" fillId="0" borderId="2" xfId="0" applyNumberFormat="1" applyFont="1" applyBorder="1" applyAlignment="1">
      <alignment horizontal="right"/>
    </xf>
    <xf numFmtId="174" fontId="7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left"/>
    </xf>
    <xf numFmtId="0" fontId="10" fillId="0" borderId="1" xfId="0" applyFont="1" applyBorder="1"/>
    <xf numFmtId="0" fontId="9" fillId="0" borderId="1" xfId="0" applyFont="1" applyBorder="1" applyAlignment="1">
      <alignment horizontal="left"/>
    </xf>
    <xf numFmtId="0" fontId="18" fillId="0" borderId="0" xfId="0" applyFont="1" applyAlignment="1">
      <alignment horizontal="left"/>
    </xf>
    <xf numFmtId="166" fontId="18" fillId="0" borderId="0" xfId="0" applyNumberFormat="1" applyFont="1" applyAlignment="1">
      <alignment horizontal="right"/>
    </xf>
    <xf numFmtId="171" fontId="13" fillId="0" borderId="0" xfId="0" applyNumberFormat="1" applyFont="1" applyAlignment="1">
      <alignment horizontal="right"/>
    </xf>
    <xf numFmtId="171" fontId="7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/>
    </xf>
    <xf numFmtId="171" fontId="5" fillId="0" borderId="0" xfId="0" applyNumberFormat="1" applyFont="1" applyAlignment="1">
      <alignment horizontal="right"/>
    </xf>
    <xf numFmtId="0" fontId="9" fillId="0" borderId="0" xfId="0" quotePrefix="1" applyFont="1" applyAlignment="1">
      <alignment horizontal="left"/>
    </xf>
    <xf numFmtId="0" fontId="11" fillId="0" borderId="1" xfId="0" quotePrefix="1" applyFont="1" applyBorder="1"/>
    <xf numFmtId="171" fontId="5" fillId="0" borderId="1" xfId="0" applyNumberFormat="1" applyFont="1" applyBorder="1" applyAlignment="1">
      <alignment horizontal="right"/>
    </xf>
    <xf numFmtId="0" fontId="9" fillId="0" borderId="1" xfId="0" quotePrefix="1" applyFont="1" applyBorder="1" applyAlignment="1">
      <alignment horizontal="left"/>
    </xf>
    <xf numFmtId="166" fontId="7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49" fontId="6" fillId="6" borderId="1" xfId="0" applyNumberFormat="1" applyFont="1" applyFill="1" applyBorder="1" applyAlignment="1">
      <alignment horizontal="right"/>
    </xf>
    <xf numFmtId="0" fontId="14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right"/>
    </xf>
    <xf numFmtId="0" fontId="6" fillId="6" borderId="1" xfId="0" applyFont="1" applyFill="1" applyBorder="1"/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/>
    <xf numFmtId="0" fontId="5" fillId="0" borderId="0" xfId="0" quotePrefix="1" applyFont="1"/>
    <xf numFmtId="0" fontId="5" fillId="0" borderId="0" xfId="0" applyFont="1"/>
    <xf numFmtId="0" fontId="2" fillId="5" borderId="0" xfId="0" applyFont="1" applyFill="1"/>
    <xf numFmtId="0" fontId="3" fillId="5" borderId="0" xfId="0" applyFont="1" applyFill="1"/>
    <xf numFmtId="0" fontId="4" fillId="0" borderId="0" xfId="0" applyFont="1"/>
    <xf numFmtId="166" fontId="5" fillId="0" borderId="0" xfId="0" applyNumberFormat="1" applyFont="1" applyAlignment="1">
      <alignment horizontal="right"/>
    </xf>
    <xf numFmtId="175" fontId="7" fillId="0" borderId="0" xfId="0" applyNumberFormat="1" applyFont="1" applyAlignment="1">
      <alignment horizontal="right"/>
    </xf>
    <xf numFmtId="175" fontId="8" fillId="0" borderId="0" xfId="0" applyNumberFormat="1" applyFont="1" applyAlignment="1">
      <alignment horizontal="right"/>
    </xf>
    <xf numFmtId="166" fontId="13" fillId="0" borderId="0" xfId="0" applyNumberFormat="1" applyFont="1" applyAlignment="1">
      <alignment horizontal="right"/>
    </xf>
    <xf numFmtId="175" fontId="13" fillId="0" borderId="0" xfId="0" applyNumberFormat="1" applyFont="1" applyAlignment="1">
      <alignment horizontal="right"/>
    </xf>
    <xf numFmtId="175" fontId="5" fillId="0" borderId="0" xfId="0" applyNumberFormat="1" applyFont="1" applyAlignment="1">
      <alignment horizontal="right"/>
    </xf>
    <xf numFmtId="0" fontId="18" fillId="0" borderId="0" xfId="0" applyFont="1"/>
    <xf numFmtId="172" fontId="18" fillId="0" borderId="0" xfId="0" applyNumberFormat="1" applyFont="1" applyAlignment="1">
      <alignment horizontal="right"/>
    </xf>
    <xf numFmtId="169" fontId="7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right"/>
    </xf>
    <xf numFmtId="0" fontId="5" fillId="0" borderId="1" xfId="0" quotePrefix="1" applyFont="1" applyBorder="1"/>
    <xf numFmtId="175" fontId="5" fillId="0" borderId="1" xfId="0" applyNumberFormat="1" applyFont="1" applyBorder="1" applyAlignment="1">
      <alignment horizontal="right"/>
    </xf>
    <xf numFmtId="0" fontId="6" fillId="6" borderId="0" xfId="0" applyFont="1" applyFill="1"/>
    <xf numFmtId="49" fontId="6" fillId="6" borderId="0" xfId="0" applyNumberFormat="1" applyFont="1" applyFill="1" applyAlignment="1">
      <alignment horizontal="right"/>
    </xf>
    <xf numFmtId="0" fontId="14" fillId="6" borderId="0" xfId="0" applyFont="1" applyFill="1"/>
    <xf numFmtId="0" fontId="7" fillId="0" borderId="3" xfId="0" applyFont="1" applyBorder="1" applyAlignment="1">
      <alignment horizontal="left"/>
    </xf>
    <xf numFmtId="166" fontId="8" fillId="0" borderId="3" xfId="0" applyNumberFormat="1" applyFont="1" applyBorder="1" applyAlignment="1">
      <alignment horizontal="right"/>
    </xf>
    <xf numFmtId="0" fontId="7" fillId="0" borderId="3" xfId="0" applyFont="1" applyBorder="1"/>
    <xf numFmtId="0" fontId="9" fillId="0" borderId="3" xfId="0" applyFont="1" applyBorder="1" applyAlignment="1">
      <alignment horizontal="left"/>
    </xf>
    <xf numFmtId="175" fontId="13" fillId="0" borderId="3" xfId="0" applyNumberFormat="1" applyFont="1" applyBorder="1" applyAlignment="1">
      <alignment horizontal="right"/>
    </xf>
    <xf numFmtId="175" fontId="7" fillId="0" borderId="3" xfId="0" applyNumberFormat="1" applyFont="1" applyBorder="1" applyAlignment="1">
      <alignment horizontal="right"/>
    </xf>
    <xf numFmtId="0" fontId="9" fillId="0" borderId="3" xfId="0" quotePrefix="1" applyFont="1" applyBorder="1" applyAlignment="1">
      <alignment horizontal="left"/>
    </xf>
    <xf numFmtId="1" fontId="8" fillId="0" borderId="0" xfId="0" applyNumberFormat="1" applyFont="1" applyAlignment="1">
      <alignment horizontal="right"/>
    </xf>
    <xf numFmtId="169" fontId="8" fillId="0" borderId="0" xfId="0" applyNumberFormat="1" applyFont="1" applyAlignment="1">
      <alignment horizontal="right"/>
    </xf>
    <xf numFmtId="169" fontId="13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/>
    </xf>
    <xf numFmtId="0" fontId="9" fillId="0" borderId="0" xfId="0" quotePrefix="1" applyFont="1"/>
    <xf numFmtId="0" fontId="11" fillId="0" borderId="0" xfId="0" quotePrefix="1" applyFont="1"/>
    <xf numFmtId="175" fontId="11" fillId="0" borderId="0" xfId="0" applyNumberFormat="1" applyFont="1" applyAlignment="1">
      <alignment horizontal="right"/>
    </xf>
    <xf numFmtId="0" fontId="11" fillId="0" borderId="0" xfId="0" applyFont="1"/>
    <xf numFmtId="176" fontId="11" fillId="0" borderId="0" xfId="0" applyNumberFormat="1" applyFont="1" applyAlignment="1">
      <alignment horizontal="right"/>
    </xf>
    <xf numFmtId="175" fontId="10" fillId="0" borderId="0" xfId="0" applyNumberFormat="1" applyFont="1" applyAlignment="1">
      <alignment horizontal="right"/>
    </xf>
    <xf numFmtId="17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171" fontId="18" fillId="0" borderId="0" xfId="0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169" fontId="8" fillId="7" borderId="0" xfId="0" applyNumberFormat="1" applyFont="1" applyFill="1" applyAlignment="1">
      <alignment horizontal="right"/>
    </xf>
    <xf numFmtId="175" fontId="10" fillId="7" borderId="0" xfId="0" applyNumberFormat="1" applyFont="1" applyFill="1" applyAlignment="1">
      <alignment horizontal="right"/>
    </xf>
    <xf numFmtId="176" fontId="10" fillId="7" borderId="0" xfId="0" applyNumberFormat="1" applyFont="1" applyFill="1" applyAlignment="1">
      <alignment horizontal="right"/>
    </xf>
    <xf numFmtId="166" fontId="10" fillId="7" borderId="0" xfId="0" applyNumberFormat="1" applyFont="1" applyFill="1" applyAlignment="1">
      <alignment horizontal="right"/>
    </xf>
    <xf numFmtId="0" fontId="10" fillId="5" borderId="0" xfId="0" applyFont="1" applyFill="1"/>
    <xf numFmtId="0" fontId="11" fillId="0" borderId="1" xfId="0" applyFont="1" applyBorder="1"/>
    <xf numFmtId="166" fontId="11" fillId="0" borderId="1" xfId="0" applyNumberFormat="1" applyFont="1" applyBorder="1" applyAlignment="1">
      <alignment horizontal="right"/>
    </xf>
    <xf numFmtId="0" fontId="9" fillId="0" borderId="1" xfId="0" quotePrefix="1" applyFont="1" applyBorder="1"/>
    <xf numFmtId="169" fontId="8" fillId="0" borderId="1" xfId="0" applyNumberFormat="1" applyFont="1" applyBorder="1" applyAlignment="1">
      <alignment horizontal="right"/>
    </xf>
    <xf numFmtId="175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/>
    </xf>
    <xf numFmtId="166" fontId="10" fillId="0" borderId="1" xfId="0" applyNumberFormat="1" applyFont="1" applyBorder="1" applyAlignment="1">
      <alignment horizontal="right"/>
    </xf>
    <xf numFmtId="169" fontId="11" fillId="0" borderId="1" xfId="0" applyNumberFormat="1" applyFont="1" applyBorder="1" applyAlignment="1">
      <alignment horizontal="right"/>
    </xf>
    <xf numFmtId="0" fontId="10" fillId="6" borderId="1" xfId="0" applyFont="1" applyFill="1" applyBorder="1"/>
    <xf numFmtId="0" fontId="6" fillId="4" borderId="0" xfId="0" applyFont="1" applyFill="1" applyAlignment="1">
      <alignment horizontal="left" vertical="center" indent="1"/>
    </xf>
    <xf numFmtId="0" fontId="4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3" xfId="0" applyFont="1" applyBorder="1" applyAlignment="1">
      <alignment wrapText="1"/>
    </xf>
    <xf numFmtId="0" fontId="7" fillId="0" borderId="3" xfId="0" applyFont="1" applyBorder="1"/>
    <xf numFmtId="0" fontId="19" fillId="0" borderId="0" xfId="0" applyFont="1"/>
    <xf numFmtId="0" fontId="20" fillId="8" borderId="0" xfId="0" applyFont="1" applyFill="1" applyAlignment="1">
      <alignment horizontal="left" vertical="center"/>
    </xf>
    <xf numFmtId="0" fontId="21" fillId="8" borderId="0" xfId="0" applyFont="1" applyFill="1" applyAlignment="1">
      <alignment horizontal="left" vertical="center"/>
    </xf>
    <xf numFmtId="0" fontId="20" fillId="8" borderId="0" xfId="0" applyFont="1" applyFill="1" applyAlignment="1">
      <alignment horizontal="left" vertical="center" indent="1"/>
    </xf>
    <xf numFmtId="0" fontId="21" fillId="8" borderId="0" xfId="0" applyFont="1" applyFill="1" applyAlignment="1">
      <alignment horizontal="left" vertical="center" indent="1"/>
    </xf>
    <xf numFmtId="0" fontId="19" fillId="0" borderId="0" xfId="0" applyFont="1"/>
    <xf numFmtId="0" fontId="22" fillId="9" borderId="0" xfId="0" applyFont="1" applyFill="1" applyAlignment="1">
      <alignment vertical="center" indent="1"/>
    </xf>
    <xf numFmtId="0" fontId="23" fillId="0" borderId="0" xfId="0" applyFont="1" applyAlignment="1">
      <alignment indent="1"/>
    </xf>
    <xf numFmtId="178" fontId="24" fillId="0" borderId="0" xfId="0" applyNumberFormat="1" applyFont="1" applyAlignment="1">
      <alignment horizontal="right"/>
    </xf>
    <xf numFmtId="179" fontId="24" fillId="0" borderId="0" xfId="0" applyNumberFormat="1" applyFont="1" applyAlignment="1">
      <alignment horizontal="right"/>
    </xf>
    <xf numFmtId="166" fontId="24" fillId="0" borderId="0" xfId="0" applyNumberFormat="1" applyFont="1" applyAlignment="1">
      <alignment horizontal="right"/>
    </xf>
    <xf numFmtId="180" fontId="24" fillId="0" borderId="0" xfId="0" applyNumberFormat="1" applyFont="1" applyAlignment="1">
      <alignment horizontal="right"/>
    </xf>
    <xf numFmtId="169" fontId="24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179" fontId="26" fillId="0" borderId="0" xfId="0" applyNumberFormat="1" applyFont="1" applyAlignment="1">
      <alignment horizontal="right"/>
    </xf>
    <xf numFmtId="176" fontId="26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0" fontId="27" fillId="0" borderId="0" xfId="0" applyFont="1" applyAlignment="1">
      <alignment indent="1"/>
    </xf>
    <xf numFmtId="0" fontId="28" fillId="0" borderId="4" xfId="0" applyFont="1" applyBorder="1" applyAlignment="1">
      <alignment horizontal="right"/>
    </xf>
    <xf numFmtId="166" fontId="24" fillId="7" borderId="0" xfId="0" applyNumberFormat="1" applyFont="1" applyFill="1" applyBorder="1" applyAlignment="1">
      <alignment horizontal="right"/>
    </xf>
    <xf numFmtId="0" fontId="19" fillId="7" borderId="0" xfId="0" applyFont="1" applyFill="1" applyBorder="1"/>
    <xf numFmtId="169" fontId="24" fillId="7" borderId="0" xfId="0" applyNumberFormat="1" applyFont="1" applyFill="1" applyBorder="1" applyAlignment="1">
      <alignment horizontal="right"/>
    </xf>
    <xf numFmtId="169" fontId="24" fillId="7" borderId="5" xfId="0" applyNumberFormat="1" applyFont="1" applyFill="1" applyBorder="1" applyAlignment="1">
      <alignment horizontal="right"/>
    </xf>
    <xf numFmtId="0" fontId="19" fillId="7" borderId="5" xfId="0" applyFont="1" applyFill="1" applyBorder="1"/>
    <xf numFmtId="0" fontId="23" fillId="7" borderId="7" xfId="0" applyFont="1" applyFill="1" applyBorder="1" applyAlignment="1">
      <alignment indent="1"/>
    </xf>
    <xf numFmtId="0" fontId="23" fillId="7" borderId="6" xfId="0" applyFont="1" applyFill="1" applyBorder="1" applyAlignment="1">
      <alignment indent="1"/>
    </xf>
    <xf numFmtId="0" fontId="19" fillId="7" borderId="8" xfId="0" applyFont="1" applyFill="1" applyBorder="1"/>
    <xf numFmtId="0" fontId="19" fillId="7" borderId="9" xfId="0" applyFont="1" applyFill="1" applyBorder="1"/>
    <xf numFmtId="0" fontId="27" fillId="0" borderId="10" xfId="0" quotePrefix="1" applyFont="1" applyBorder="1" applyAlignment="1">
      <alignment indent="1"/>
    </xf>
    <xf numFmtId="179" fontId="26" fillId="0" borderId="10" xfId="0" applyNumberFormat="1" applyFont="1" applyBorder="1" applyAlignment="1">
      <alignment horizontal="right"/>
    </xf>
    <xf numFmtId="0" fontId="19" fillId="0" borderId="10" xfId="0" applyFont="1" applyBorder="1"/>
    <xf numFmtId="0" fontId="27" fillId="0" borderId="10" xfId="0" applyFont="1" applyBorder="1" applyAlignment="1">
      <alignment indent="1"/>
    </xf>
    <xf numFmtId="0" fontId="28" fillId="0" borderId="11" xfId="0" applyFont="1" applyBorder="1" applyAlignment="1">
      <alignment horizontal="center" wrapText="1"/>
    </xf>
    <xf numFmtId="166" fontId="29" fillId="10" borderId="12" xfId="0" applyNumberFormat="1" applyFont="1" applyFill="1" applyBorder="1" applyAlignment="1">
      <alignment horizontal="center"/>
    </xf>
    <xf numFmtId="169" fontId="29" fillId="10" borderId="12" xfId="0" applyNumberFormat="1" applyFont="1" applyFill="1" applyBorder="1" applyAlignment="1">
      <alignment horizontal="center"/>
    </xf>
    <xf numFmtId="181" fontId="29" fillId="10" borderId="12" xfId="0" applyNumberFormat="1" applyFont="1" applyFill="1" applyBorder="1" applyAlignment="1">
      <alignment horizontal="center"/>
    </xf>
    <xf numFmtId="0" fontId="0" fillId="0" borderId="0" xfId="0"/>
    <xf numFmtId="0" fontId="30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i val="0"/>
        <color rgb="FFFF0000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7130D71-608B-429D-A648-3CC6B80E7DBE}">
  <we:reference id="wa200009404" version="1.0.0.8" store="fr-FR" storeType="OMEX"/>
  <we:alternateReferences>
    <we:reference id="WA200009404" version="1.0.0.8" store="" storeType="OMEX"/>
  </we:alternateReferences>
  <we:properties>
    <we:property name="claude.fileId" value="&quot;4e8160f5-0765-44f7-8a15-a8afcaeaba3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A50C-2995-4F28-9EEB-85B9C59785BE}">
  <sheetPr>
    <pageSetUpPr fitToPage="1"/>
  </sheetPr>
  <dimension ref="A1:I40"/>
  <sheetViews>
    <sheetView showGridLines="0" tabSelected="1" topLeftCell="A11" workbookViewId="0"/>
  </sheetViews>
  <sheetFormatPr defaultRowHeight="14.5" x14ac:dyDescent="0.35"/>
  <cols>
    <col min="1" max="1" width="3.1796875" customWidth="1"/>
    <col min="2" max="2" width="45.81640625" customWidth="1"/>
    <col min="3" max="3" width="19.08984375" customWidth="1"/>
    <col min="4" max="4" width="12.7265625" customWidth="1"/>
    <col min="5" max="5" width="35.6328125" customWidth="1"/>
    <col min="6" max="7" width="16.54296875" customWidth="1"/>
    <col min="8" max="8" width="12.7265625" customWidth="1"/>
    <col min="9" max="9" width="3.1796875" customWidth="1"/>
  </cols>
  <sheetData>
    <row r="1" spans="1:9" x14ac:dyDescent="0.35">
      <c r="A1" s="149"/>
      <c r="B1" s="149"/>
      <c r="C1" s="149"/>
      <c r="D1" s="149"/>
      <c r="E1" s="149"/>
      <c r="F1" s="149"/>
      <c r="G1" s="149"/>
      <c r="H1" s="149"/>
      <c r="I1" s="149"/>
    </row>
    <row r="2" spans="1:9" ht="30" customHeight="1" x14ac:dyDescent="0.35">
      <c r="A2" s="149"/>
      <c r="B2" s="152" t="s">
        <v>346</v>
      </c>
      <c r="C2" s="150"/>
      <c r="D2" s="150"/>
      <c r="E2" s="150"/>
      <c r="F2" s="150"/>
      <c r="G2" s="150"/>
      <c r="H2" s="150"/>
      <c r="I2" s="149"/>
    </row>
    <row r="3" spans="1:9" ht="20" customHeight="1" x14ac:dyDescent="0.35">
      <c r="A3" s="149"/>
      <c r="B3" s="153" t="s">
        <v>347</v>
      </c>
      <c r="C3" s="151"/>
      <c r="D3" s="151"/>
      <c r="E3" s="151"/>
      <c r="F3" s="151"/>
      <c r="G3" s="151"/>
      <c r="H3" s="151"/>
      <c r="I3" s="149"/>
    </row>
    <row r="4" spans="1:9" x14ac:dyDescent="0.35">
      <c r="A4" s="149"/>
      <c r="B4" s="149"/>
      <c r="C4" s="149"/>
      <c r="D4" s="149"/>
      <c r="E4" s="149"/>
      <c r="F4" s="167" t="s">
        <v>359</v>
      </c>
      <c r="G4" s="167" t="s">
        <v>360</v>
      </c>
      <c r="H4" s="149"/>
      <c r="I4" s="149"/>
    </row>
    <row r="5" spans="1:9" ht="18" customHeight="1" x14ac:dyDescent="0.35">
      <c r="A5" s="149"/>
      <c r="B5" s="155" t="s">
        <v>348</v>
      </c>
      <c r="C5" s="155"/>
      <c r="D5" s="155"/>
      <c r="E5" s="155" t="s">
        <v>361</v>
      </c>
      <c r="F5" s="155"/>
      <c r="G5" s="155"/>
      <c r="H5" s="155"/>
      <c r="I5" s="149"/>
    </row>
    <row r="6" spans="1:9" x14ac:dyDescent="0.35">
      <c r="A6" s="149"/>
      <c r="B6" s="156" t="s">
        <v>85</v>
      </c>
      <c r="C6" s="157">
        <f>'Transaction Data'!C7</f>
        <v>55</v>
      </c>
      <c r="D6" s="149"/>
      <c r="E6" s="156" t="s">
        <v>164</v>
      </c>
      <c r="F6" s="158">
        <f>'3 · Operating Model'!C13</f>
        <v>2757.99</v>
      </c>
      <c r="G6" s="158">
        <f>'3 · Operating Model'!H13</f>
        <v>3519.9717865593752</v>
      </c>
      <c r="H6" s="149"/>
      <c r="I6" s="149"/>
    </row>
    <row r="7" spans="1:9" x14ac:dyDescent="0.35">
      <c r="A7" s="149"/>
      <c r="B7" s="156" t="s">
        <v>9</v>
      </c>
      <c r="C7" s="158">
        <f>'Transaction Data'!C8</f>
        <v>5000</v>
      </c>
      <c r="D7" s="149"/>
      <c r="E7" s="156" t="s">
        <v>168</v>
      </c>
      <c r="F7" s="158">
        <f>'3 · Operating Model'!C15</f>
        <v>446.9</v>
      </c>
      <c r="G7" s="158">
        <f>'3 · Operating Model'!H15</f>
        <v>612.4750908613313</v>
      </c>
      <c r="H7" s="149"/>
      <c r="I7" s="149"/>
    </row>
    <row r="8" spans="1:9" x14ac:dyDescent="0.35">
      <c r="A8" s="149"/>
      <c r="B8" s="156" t="s">
        <v>10</v>
      </c>
      <c r="C8" s="159">
        <f>'Transaction Data'!C9</f>
        <v>0.54</v>
      </c>
      <c r="D8" s="149"/>
      <c r="E8" s="156" t="s">
        <v>362</v>
      </c>
      <c r="F8" s="159">
        <f>'3 · Operating Model'!C25</f>
        <v>5.0000000000000044E-2</v>
      </c>
      <c r="G8" s="149"/>
      <c r="H8" s="149"/>
      <c r="I8" s="149"/>
    </row>
    <row r="9" spans="1:9" x14ac:dyDescent="0.35">
      <c r="A9" s="149"/>
      <c r="B9" s="156" t="s">
        <v>349</v>
      </c>
      <c r="C9" s="158">
        <f>'Transaction Data'!C11</f>
        <v>5200</v>
      </c>
      <c r="D9" s="149"/>
      <c r="E9" s="156" t="s">
        <v>363</v>
      </c>
      <c r="F9" s="159">
        <f>'3 · Operating Model'!C26</f>
        <v>6.506377876670344E-2</v>
      </c>
      <c r="G9" s="149"/>
      <c r="H9" s="149"/>
      <c r="I9" s="149"/>
    </row>
    <row r="10" spans="1:9" x14ac:dyDescent="0.35">
      <c r="A10" s="149"/>
      <c r="B10" s="156" t="s">
        <v>350</v>
      </c>
      <c r="C10" s="162" t="s">
        <v>17</v>
      </c>
      <c r="D10" s="149"/>
      <c r="E10" s="156" t="s">
        <v>364</v>
      </c>
      <c r="F10" s="161">
        <f>'4 · Debt Schedule &amp; FCF'!C59</f>
        <v>4.8073180664330692</v>
      </c>
      <c r="G10" s="161">
        <f>'4 · Debt Schedule &amp; FCF'!G59</f>
        <v>1.8531956142152952</v>
      </c>
      <c r="H10" s="149"/>
      <c r="I10" s="149"/>
    </row>
    <row r="11" spans="1:9" x14ac:dyDescent="0.35">
      <c r="A11" s="149"/>
      <c r="B11" s="149"/>
      <c r="C11" s="149"/>
      <c r="D11" s="149"/>
      <c r="E11" s="149"/>
      <c r="F11" s="149"/>
      <c r="G11" s="149"/>
      <c r="H11" s="149"/>
      <c r="I11" s="149"/>
    </row>
    <row r="12" spans="1:9" ht="18" customHeight="1" x14ac:dyDescent="0.35">
      <c r="A12" s="149"/>
      <c r="B12" s="155" t="s">
        <v>351</v>
      </c>
      <c r="C12" s="155"/>
      <c r="D12" s="155"/>
      <c r="E12" s="155" t="s">
        <v>365</v>
      </c>
      <c r="F12" s="155"/>
      <c r="G12" s="155"/>
      <c r="H12" s="155"/>
      <c r="I12" s="149"/>
    </row>
    <row r="13" spans="1:9" x14ac:dyDescent="0.35">
      <c r="A13" s="149"/>
      <c r="B13" s="156" t="s">
        <v>9</v>
      </c>
      <c r="C13" s="158">
        <f>'Transaction Data'!C8</f>
        <v>5000</v>
      </c>
      <c r="D13" s="149"/>
      <c r="E13" s="156" t="s">
        <v>366</v>
      </c>
      <c r="F13" s="158">
        <f>'5 · Returns &amp; Sensitivities'!C11</f>
        <v>2696.7887499999997</v>
      </c>
      <c r="G13" s="149"/>
      <c r="H13" s="149"/>
      <c r="I13" s="149"/>
    </row>
    <row r="14" spans="1:9" x14ac:dyDescent="0.35">
      <c r="A14" s="149"/>
      <c r="B14" s="156" t="s">
        <v>352</v>
      </c>
      <c r="C14" s="158">
        <f>-'Transaction Data'!C34</f>
        <v>-1454.1100000000001</v>
      </c>
      <c r="D14" s="149"/>
      <c r="E14" s="180" t="s">
        <v>367</v>
      </c>
      <c r="F14" s="178">
        <f>'5 · Returns &amp; Sensitivities'!C16</f>
        <v>5724.6848654465757</v>
      </c>
      <c r="G14" s="179"/>
      <c r="H14" s="179"/>
      <c r="I14" s="149"/>
    </row>
    <row r="15" spans="1:9" x14ac:dyDescent="0.35">
      <c r="A15" s="149"/>
      <c r="B15" s="177" t="s">
        <v>72</v>
      </c>
      <c r="C15" s="178">
        <f>'1 · Transaction Overview'!C16</f>
        <v>3545.89</v>
      </c>
      <c r="D15" s="179"/>
      <c r="E15" s="166" t="s">
        <v>328</v>
      </c>
      <c r="F15" s="164">
        <f>'5 · Returns &amp; Sensitivities'!C17</f>
        <v>2.1227783842715069</v>
      </c>
      <c r="G15" s="149"/>
      <c r="H15" s="149"/>
      <c r="I15" s="149"/>
    </row>
    <row r="16" spans="1:9" x14ac:dyDescent="0.35">
      <c r="A16" s="149"/>
      <c r="B16" s="156" t="s">
        <v>52</v>
      </c>
      <c r="C16" s="160">
        <f>'1 · Transaction Overview'!C18</f>
        <v>64.470727272727274</v>
      </c>
      <c r="D16" s="149"/>
      <c r="E16" s="166" t="s">
        <v>324</v>
      </c>
      <c r="F16" s="165">
        <f>'5 · Returns &amp; Sensitivities'!C18</f>
        <v>0.16246779846905124</v>
      </c>
      <c r="G16" s="149"/>
      <c r="H16" s="149"/>
      <c r="I16" s="149"/>
    </row>
    <row r="17" spans="1:9" x14ac:dyDescent="0.35">
      <c r="A17" s="149"/>
      <c r="B17" s="156" t="s">
        <v>56</v>
      </c>
      <c r="C17" s="161">
        <f>'Transaction Data'!C53</f>
        <v>1.8129144775724351</v>
      </c>
      <c r="D17" s="149"/>
      <c r="E17" s="156" t="s">
        <v>368</v>
      </c>
      <c r="F17" s="161">
        <f>'5 · Returns &amp; Sensitivities'!C7</f>
        <v>11.2</v>
      </c>
      <c r="G17" s="149"/>
      <c r="H17" s="149"/>
      <c r="I17" s="149"/>
    </row>
    <row r="18" spans="1:9" x14ac:dyDescent="0.35">
      <c r="A18" s="149"/>
      <c r="B18" s="156" t="s">
        <v>353</v>
      </c>
      <c r="C18" s="161">
        <f>'Transaction Data'!C54</f>
        <v>11.188185276348177</v>
      </c>
      <c r="D18" s="149"/>
      <c r="E18" s="149"/>
      <c r="F18" s="149"/>
      <c r="G18" s="149"/>
      <c r="H18" s="149"/>
      <c r="I18" s="149"/>
    </row>
    <row r="19" spans="1:9" ht="18" customHeight="1" x14ac:dyDescent="0.35">
      <c r="A19" s="149"/>
      <c r="B19" s="149"/>
      <c r="C19" s="149"/>
      <c r="D19" s="149"/>
      <c r="E19" s="155" t="s">
        <v>369</v>
      </c>
      <c r="F19" s="155"/>
      <c r="G19" s="155"/>
      <c r="H19" s="155"/>
      <c r="I19" s="149"/>
    </row>
    <row r="20" spans="1:9" ht="18" customHeight="1" x14ac:dyDescent="0.35">
      <c r="A20" s="149"/>
      <c r="B20" s="155" t="s">
        <v>354</v>
      </c>
      <c r="C20" s="155"/>
      <c r="D20" s="155"/>
      <c r="E20" s="173" t="s">
        <v>370</v>
      </c>
      <c r="F20" s="168">
        <f>'5 · Returns &amp; Sensitivities'!C18</f>
        <v>0.16246779846905124</v>
      </c>
      <c r="G20" s="169"/>
      <c r="H20" s="175"/>
      <c r="I20" s="149"/>
    </row>
    <row r="21" spans="1:9" x14ac:dyDescent="0.35">
      <c r="A21" s="149"/>
      <c r="B21" s="156" t="s">
        <v>355</v>
      </c>
      <c r="C21" s="158">
        <f>'2 · Sources &amp; Uses'!C20</f>
        <v>2457.9499999999998</v>
      </c>
      <c r="D21" s="149"/>
      <c r="E21" s="173" t="s">
        <v>371</v>
      </c>
      <c r="F21" s="170">
        <f>'5 · Returns &amp; Sensitivities'!E51</f>
        <v>12.809516095694757</v>
      </c>
      <c r="G21" s="169"/>
      <c r="H21" s="175"/>
      <c r="I21" s="149"/>
    </row>
    <row r="22" spans="1:9" x14ac:dyDescent="0.35">
      <c r="A22" s="149"/>
      <c r="B22" s="166" t="s">
        <v>356</v>
      </c>
      <c r="C22" s="163">
        <f>'2 · Sources &amp; Uses'!C23</f>
        <v>2696.7887499999997</v>
      </c>
      <c r="D22" s="149"/>
      <c r="E22" s="174" t="s">
        <v>372</v>
      </c>
      <c r="F22" s="171">
        <f>'5 · Returns &amp; Sensitivities'!E51-'Transaction Data'!C54</f>
        <v>1.6213308193465803</v>
      </c>
      <c r="G22" s="172"/>
      <c r="H22" s="176"/>
      <c r="I22" s="149"/>
    </row>
    <row r="23" spans="1:9" x14ac:dyDescent="0.35">
      <c r="A23" s="149"/>
      <c r="B23" s="156" t="s">
        <v>357</v>
      </c>
      <c r="C23" s="161">
        <f>'2 · Sources &amp; Uses'!C6</f>
        <v>5.5</v>
      </c>
      <c r="D23" s="149"/>
      <c r="E23" s="149"/>
      <c r="F23" s="149"/>
      <c r="G23" s="149"/>
      <c r="H23" s="149"/>
      <c r="I23" s="149"/>
    </row>
    <row r="24" spans="1:9" x14ac:dyDescent="0.35">
      <c r="A24" s="149"/>
      <c r="B24" s="156" t="s">
        <v>358</v>
      </c>
      <c r="C24" s="159">
        <f>'2 · Sources &amp; Uses'!C29</f>
        <v>0.52316691122319248</v>
      </c>
      <c r="D24" s="149"/>
      <c r="E24" s="149"/>
      <c r="F24" s="149"/>
      <c r="G24" s="149"/>
      <c r="H24" s="149"/>
      <c r="I24" s="149"/>
    </row>
    <row r="25" spans="1:9" x14ac:dyDescent="0.35">
      <c r="A25" s="149"/>
      <c r="B25" s="149"/>
      <c r="C25" s="149"/>
      <c r="D25" s="149"/>
      <c r="E25" s="149"/>
      <c r="F25" s="149"/>
      <c r="G25" s="149"/>
      <c r="H25" s="149"/>
      <c r="I25" s="149"/>
    </row>
    <row r="26" spans="1:9" ht="18" customHeight="1" x14ac:dyDescent="0.35">
      <c r="A26" s="149"/>
      <c r="B26" s="155" t="s">
        <v>373</v>
      </c>
      <c r="C26" s="155"/>
      <c r="D26" s="155"/>
      <c r="E26" s="155"/>
      <c r="F26" s="155"/>
      <c r="G26" s="155"/>
      <c r="H26" s="155"/>
      <c r="I26" s="149"/>
    </row>
    <row r="27" spans="1:9" ht="24" customHeight="1" x14ac:dyDescent="0.35">
      <c r="A27" s="149"/>
      <c r="B27" s="181" t="s">
        <v>374</v>
      </c>
      <c r="C27" s="181" t="s">
        <v>375</v>
      </c>
      <c r="D27" s="181" t="s">
        <v>376</v>
      </c>
      <c r="E27" s="181" t="s">
        <v>377</v>
      </c>
      <c r="F27" s="181" t="s">
        <v>378</v>
      </c>
      <c r="G27" s="181" t="s">
        <v>379</v>
      </c>
      <c r="H27" s="181" t="s">
        <v>380</v>
      </c>
      <c r="I27" s="149"/>
    </row>
    <row r="28" spans="1:9" ht="18" customHeight="1" x14ac:dyDescent="0.35">
      <c r="A28" s="149"/>
      <c r="B28" s="182">
        <f>'3 · Operating Model'!D6</f>
        <v>0.05</v>
      </c>
      <c r="C28" s="182">
        <f>'3 · Operating Model'!H7</f>
        <v>0.17399999999999999</v>
      </c>
      <c r="D28" s="183">
        <f>'2 · Sources &amp; Uses'!C6</f>
        <v>5.5</v>
      </c>
      <c r="E28" s="182">
        <f>'4 · Debt Schedule &amp; FCF'!C8</f>
        <v>8.4999999999999992E-2</v>
      </c>
      <c r="F28" s="182">
        <f>'4 · Debt Schedule &amp; FCF'!C13</f>
        <v>1</v>
      </c>
      <c r="G28" s="183">
        <f>'5 · Returns &amp; Sensitivities'!C7</f>
        <v>11.2</v>
      </c>
      <c r="H28" s="184">
        <f>'5 · Returns &amp; Sensitivities'!C6</f>
        <v>5</v>
      </c>
      <c r="I28" s="149"/>
    </row>
    <row r="29" spans="1:9" x14ac:dyDescent="0.35">
      <c r="A29" s="149"/>
      <c r="B29" s="149"/>
      <c r="C29" s="149"/>
      <c r="D29" s="149"/>
      <c r="E29" s="149"/>
      <c r="F29" s="149"/>
      <c r="G29" s="149"/>
      <c r="H29" s="149"/>
      <c r="I29" s="149"/>
    </row>
    <row r="30" spans="1:9" ht="22" customHeight="1" x14ac:dyDescent="0.35">
      <c r="A30" s="149"/>
      <c r="B30" s="186" t="s">
        <v>381</v>
      </c>
      <c r="C30" s="154"/>
      <c r="D30" s="154"/>
      <c r="E30" s="154"/>
      <c r="F30" s="154"/>
      <c r="G30" s="154"/>
      <c r="H30" s="154"/>
      <c r="I30" s="149"/>
    </row>
    <row r="31" spans="1:9" ht="14" customHeight="1" x14ac:dyDescent="0.35">
      <c r="A31" s="149"/>
      <c r="B31" s="185"/>
      <c r="C31" s="185"/>
      <c r="D31" s="185"/>
      <c r="E31" s="185"/>
      <c r="F31" s="185"/>
      <c r="G31" s="185"/>
      <c r="H31" s="185"/>
      <c r="I31" s="149"/>
    </row>
    <row r="32" spans="1:9" x14ac:dyDescent="0.35">
      <c r="A32" s="149"/>
      <c r="B32" s="149"/>
      <c r="C32" s="149"/>
      <c r="D32" s="149"/>
      <c r="E32" s="149"/>
      <c r="F32" s="149"/>
      <c r="G32" s="149"/>
      <c r="H32" s="149"/>
      <c r="I32" s="149"/>
    </row>
    <row r="33" spans="1:9" x14ac:dyDescent="0.35">
      <c r="A33" s="149"/>
      <c r="B33" s="149"/>
      <c r="C33" s="149"/>
      <c r="D33" s="149"/>
      <c r="E33" s="149"/>
      <c r="F33" s="149"/>
      <c r="G33" s="149"/>
      <c r="H33" s="149"/>
      <c r="I33" s="149"/>
    </row>
    <row r="34" spans="1:9" x14ac:dyDescent="0.35">
      <c r="A34" s="149"/>
      <c r="B34" s="149"/>
      <c r="C34" s="149"/>
      <c r="D34" s="149"/>
      <c r="E34" s="149"/>
      <c r="F34" s="149"/>
      <c r="G34" s="149"/>
      <c r="H34" s="149"/>
      <c r="I34" s="149"/>
    </row>
    <row r="35" spans="1:9" x14ac:dyDescent="0.35">
      <c r="A35" s="149"/>
      <c r="B35" s="149"/>
      <c r="C35" s="149"/>
      <c r="D35" s="149"/>
      <c r="E35" s="149"/>
      <c r="F35" s="149"/>
      <c r="G35" s="149"/>
      <c r="H35" s="149"/>
      <c r="I35" s="149"/>
    </row>
    <row r="36" spans="1:9" x14ac:dyDescent="0.35">
      <c r="A36" s="149"/>
      <c r="B36" s="149"/>
      <c r="C36" s="149"/>
      <c r="D36" s="149"/>
      <c r="E36" s="149"/>
      <c r="F36" s="149"/>
      <c r="G36" s="149"/>
      <c r="H36" s="149"/>
      <c r="I36" s="149"/>
    </row>
    <row r="37" spans="1:9" x14ac:dyDescent="0.35">
      <c r="A37" s="149"/>
      <c r="B37" s="149"/>
      <c r="C37" s="149"/>
      <c r="D37" s="149"/>
      <c r="E37" s="149"/>
      <c r="F37" s="149"/>
      <c r="G37" s="149"/>
      <c r="H37" s="149"/>
      <c r="I37" s="149"/>
    </row>
    <row r="38" spans="1:9" x14ac:dyDescent="0.35">
      <c r="A38" s="149"/>
      <c r="B38" s="149"/>
      <c r="C38" s="149"/>
      <c r="D38" s="149"/>
      <c r="E38" s="149"/>
      <c r="F38" s="149"/>
      <c r="G38" s="149"/>
      <c r="H38" s="149"/>
      <c r="I38" s="149"/>
    </row>
    <row r="39" spans="1:9" x14ac:dyDescent="0.35">
      <c r="A39" s="149"/>
      <c r="B39" s="149"/>
      <c r="C39" s="149"/>
      <c r="D39" s="149"/>
      <c r="E39" s="149"/>
      <c r="F39" s="149"/>
      <c r="G39" s="149"/>
      <c r="H39" s="149"/>
      <c r="I39" s="149"/>
    </row>
    <row r="40" spans="1:9" x14ac:dyDescent="0.35">
      <c r="A40" s="149"/>
      <c r="B40" s="149"/>
      <c r="C40" s="149"/>
      <c r="D40" s="149"/>
      <c r="E40" s="149"/>
      <c r="F40" s="149"/>
      <c r="G40" s="149"/>
      <c r="H40" s="149"/>
      <c r="I40" s="149"/>
    </row>
  </sheetData>
  <mergeCells count="11">
    <mergeCell ref="B26:H26"/>
    <mergeCell ref="B30:H30"/>
    <mergeCell ref="B31:H31"/>
    <mergeCell ref="B2:H2"/>
    <mergeCell ref="B3:H3"/>
    <mergeCell ref="B5:D5"/>
    <mergeCell ref="B12:D12"/>
    <mergeCell ref="B20:D20"/>
    <mergeCell ref="E5:H5"/>
    <mergeCell ref="E12:H12"/>
    <mergeCell ref="E19:H1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6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328125" defaultRowHeight="14.5" x14ac:dyDescent="0.35"/>
  <cols>
    <col min="1" max="1" width="2" customWidth="1"/>
    <col min="2" max="2" width="46" customWidth="1"/>
    <col min="3" max="3" width="16" customWidth="1"/>
    <col min="4" max="4" width="34" customWidth="1"/>
    <col min="5" max="5" width="2" customWidth="1"/>
  </cols>
  <sheetData>
    <row r="1" spans="2:4" ht="25.5" customHeight="1" x14ac:dyDescent="0.35">
      <c r="B1" s="137" t="s">
        <v>0</v>
      </c>
      <c r="C1" s="137"/>
      <c r="D1" s="137"/>
    </row>
    <row r="2" spans="2:4" ht="15.75" customHeight="1" x14ac:dyDescent="0.35">
      <c r="B2" s="138" t="s">
        <v>1</v>
      </c>
      <c r="C2" s="138"/>
      <c r="D2" s="138"/>
    </row>
    <row r="3" spans="2:4" ht="13.5" customHeight="1" x14ac:dyDescent="0.35">
      <c r="B3" s="139" t="s">
        <v>2</v>
      </c>
      <c r="C3" s="139"/>
      <c r="D3" s="139"/>
    </row>
    <row r="5" spans="2:4" x14ac:dyDescent="0.35">
      <c r="B5" s="1" t="s">
        <v>3</v>
      </c>
      <c r="C5" s="2" t="s">
        <v>4</v>
      </c>
      <c r="D5" s="1" t="s">
        <v>5</v>
      </c>
    </row>
    <row r="6" spans="2:4" ht="18" customHeight="1" x14ac:dyDescent="0.35">
      <c r="B6" s="135" t="s">
        <v>6</v>
      </c>
      <c r="C6" s="135"/>
      <c r="D6" s="135"/>
    </row>
    <row r="7" spans="2:4" x14ac:dyDescent="0.35">
      <c r="B7" s="3" t="s">
        <v>7</v>
      </c>
      <c r="C7" s="4">
        <v>55</v>
      </c>
      <c r="D7" s="5" t="s">
        <v>8</v>
      </c>
    </row>
    <row r="8" spans="2:4" x14ac:dyDescent="0.35">
      <c r="B8" s="3" t="s">
        <v>9</v>
      </c>
      <c r="C8" s="6">
        <v>5000</v>
      </c>
      <c r="D8" s="5" t="s">
        <v>8</v>
      </c>
    </row>
    <row r="9" spans="2:4" x14ac:dyDescent="0.35">
      <c r="B9" s="3" t="s">
        <v>10</v>
      </c>
      <c r="C9" s="7">
        <v>0.54</v>
      </c>
      <c r="D9" s="5" t="s">
        <v>8</v>
      </c>
    </row>
    <row r="10" spans="2:4" x14ac:dyDescent="0.35">
      <c r="B10" s="3" t="s">
        <v>11</v>
      </c>
      <c r="C10" s="7">
        <v>0.17799999999999999</v>
      </c>
      <c r="D10" s="5" t="s">
        <v>12</v>
      </c>
    </row>
    <row r="11" spans="2:4" x14ac:dyDescent="0.35">
      <c r="B11" s="3" t="s">
        <v>13</v>
      </c>
      <c r="C11" s="6">
        <v>5200</v>
      </c>
      <c r="D11" s="5" t="s">
        <v>14</v>
      </c>
    </row>
    <row r="12" spans="2:4" x14ac:dyDescent="0.35">
      <c r="B12" s="3" t="s">
        <v>15</v>
      </c>
      <c r="C12" s="8">
        <v>107.5</v>
      </c>
      <c r="D12" s="5" t="s">
        <v>8</v>
      </c>
    </row>
    <row r="13" spans="2:4" x14ac:dyDescent="0.35">
      <c r="B13" s="3" t="s">
        <v>16</v>
      </c>
      <c r="C13" s="9" t="s">
        <v>17</v>
      </c>
      <c r="D13" s="5" t="s">
        <v>8</v>
      </c>
    </row>
    <row r="14" spans="2:4" x14ac:dyDescent="0.35">
      <c r="B14" s="3" t="s">
        <v>18</v>
      </c>
      <c r="C14" s="9" t="s">
        <v>19</v>
      </c>
      <c r="D14" s="5" t="s">
        <v>8</v>
      </c>
    </row>
    <row r="15" spans="2:4" x14ac:dyDescent="0.35">
      <c r="B15" s="3" t="s">
        <v>20</v>
      </c>
      <c r="C15" s="9" t="s">
        <v>21</v>
      </c>
      <c r="D15" s="5" t="s">
        <v>8</v>
      </c>
    </row>
    <row r="17" spans="2:4" ht="18" customHeight="1" x14ac:dyDescent="0.35">
      <c r="B17" s="135" t="s">
        <v>22</v>
      </c>
      <c r="C17" s="135"/>
      <c r="D17" s="135"/>
    </row>
    <row r="18" spans="2:4" x14ac:dyDescent="0.35">
      <c r="B18" s="3" t="s">
        <v>23</v>
      </c>
      <c r="C18" s="8">
        <v>2757.99</v>
      </c>
      <c r="D18" s="5" t="s">
        <v>24</v>
      </c>
    </row>
    <row r="19" spans="2:4" x14ac:dyDescent="0.35">
      <c r="B19" s="3" t="s">
        <v>25</v>
      </c>
      <c r="C19" s="8">
        <v>446.9</v>
      </c>
      <c r="D19" s="5" t="s">
        <v>26</v>
      </c>
    </row>
    <row r="20" spans="2:4" x14ac:dyDescent="0.35">
      <c r="B20" s="3" t="s">
        <v>27</v>
      </c>
      <c r="C20" s="8">
        <v>234</v>
      </c>
      <c r="D20" s="5" t="s">
        <v>26</v>
      </c>
    </row>
    <row r="21" spans="2:4" x14ac:dyDescent="0.35">
      <c r="B21" s="3" t="s">
        <v>28</v>
      </c>
      <c r="C21" s="8">
        <v>98.27</v>
      </c>
      <c r="D21" s="5" t="s">
        <v>26</v>
      </c>
    </row>
    <row r="22" spans="2:4" x14ac:dyDescent="0.35">
      <c r="B22" s="3" t="s">
        <v>29</v>
      </c>
      <c r="C22" s="8">
        <v>107.2</v>
      </c>
      <c r="D22" s="5" t="s">
        <v>26</v>
      </c>
    </row>
    <row r="23" spans="2:4" x14ac:dyDescent="0.35">
      <c r="B23" s="3" t="s">
        <v>30</v>
      </c>
      <c r="C23" s="8">
        <v>115.4</v>
      </c>
      <c r="D23" s="5" t="s">
        <v>26</v>
      </c>
    </row>
    <row r="24" spans="2:4" x14ac:dyDescent="0.35">
      <c r="B24" s="3" t="s">
        <v>31</v>
      </c>
      <c r="C24" s="8">
        <v>192.5</v>
      </c>
      <c r="D24" s="5" t="s">
        <v>26</v>
      </c>
    </row>
    <row r="25" spans="2:4" x14ac:dyDescent="0.35">
      <c r="B25" s="3" t="s">
        <v>32</v>
      </c>
      <c r="C25" s="8">
        <v>175.5</v>
      </c>
      <c r="D25" s="5" t="s">
        <v>26</v>
      </c>
    </row>
    <row r="26" spans="2:4" x14ac:dyDescent="0.35">
      <c r="B26" s="3" t="s">
        <v>33</v>
      </c>
      <c r="C26" s="7">
        <v>0.28499999999999998</v>
      </c>
      <c r="D26" s="5" t="s">
        <v>26</v>
      </c>
    </row>
    <row r="28" spans="2:4" ht="18" customHeight="1" x14ac:dyDescent="0.35">
      <c r="B28" s="135" t="s">
        <v>34</v>
      </c>
      <c r="C28" s="135"/>
      <c r="D28" s="135"/>
    </row>
    <row r="29" spans="2:4" x14ac:dyDescent="0.35">
      <c r="B29" s="3" t="s">
        <v>35</v>
      </c>
      <c r="C29" s="8">
        <v>1472.4</v>
      </c>
      <c r="D29" s="5" t="s">
        <v>24</v>
      </c>
    </row>
    <row r="30" spans="2:4" x14ac:dyDescent="0.35">
      <c r="B30" s="3" t="s">
        <v>36</v>
      </c>
      <c r="C30" s="8">
        <v>1455.9</v>
      </c>
      <c r="D30" s="5" t="s">
        <v>26</v>
      </c>
    </row>
    <row r="31" spans="2:4" x14ac:dyDescent="0.35">
      <c r="B31" s="3" t="s">
        <v>37</v>
      </c>
      <c r="C31" s="8">
        <v>18.29</v>
      </c>
      <c r="D31" s="5" t="s">
        <v>26</v>
      </c>
    </row>
    <row r="32" spans="2:4" x14ac:dyDescent="0.35">
      <c r="B32" s="3" t="s">
        <v>38</v>
      </c>
      <c r="C32" s="8">
        <v>38.229999999999997</v>
      </c>
      <c r="D32" s="5" t="s">
        <v>26</v>
      </c>
    </row>
    <row r="33" spans="2:4" x14ac:dyDescent="0.35">
      <c r="B33" s="3" t="s">
        <v>39</v>
      </c>
      <c r="C33" s="8">
        <v>207</v>
      </c>
      <c r="D33" s="5" t="s">
        <v>26</v>
      </c>
    </row>
    <row r="34" spans="2:4" x14ac:dyDescent="0.35">
      <c r="B34" s="10" t="s">
        <v>40</v>
      </c>
      <c r="C34" s="11">
        <f>C29-C31</f>
        <v>1454.1100000000001</v>
      </c>
      <c r="D34" s="5" t="s">
        <v>41</v>
      </c>
    </row>
    <row r="36" spans="2:4" ht="18" customHeight="1" x14ac:dyDescent="0.35">
      <c r="B36" s="135" t="s">
        <v>42</v>
      </c>
      <c r="C36" s="135"/>
      <c r="D36" s="135"/>
    </row>
    <row r="37" spans="2:4" x14ac:dyDescent="0.35">
      <c r="B37" s="3" t="s">
        <v>43</v>
      </c>
      <c r="C37" s="12">
        <v>50.07</v>
      </c>
      <c r="D37" s="5" t="s">
        <v>24</v>
      </c>
    </row>
    <row r="38" spans="2:4" x14ac:dyDescent="0.35">
      <c r="B38" s="3" t="s">
        <v>44</v>
      </c>
      <c r="C38" s="12">
        <v>54.38</v>
      </c>
      <c r="D38" s="5" t="s">
        <v>26</v>
      </c>
    </row>
    <row r="39" spans="2:4" x14ac:dyDescent="0.35">
      <c r="B39" s="3" t="s">
        <v>45</v>
      </c>
      <c r="C39" s="12">
        <v>63.24</v>
      </c>
      <c r="D39" s="5" t="s">
        <v>26</v>
      </c>
    </row>
    <row r="40" spans="2:4" x14ac:dyDescent="0.35">
      <c r="B40" s="3" t="s">
        <v>46</v>
      </c>
      <c r="C40" s="12">
        <v>62</v>
      </c>
      <c r="D40" s="5" t="s">
        <v>26</v>
      </c>
    </row>
    <row r="42" spans="2:4" ht="18" customHeight="1" x14ac:dyDescent="0.35">
      <c r="B42" s="135" t="s">
        <v>47</v>
      </c>
      <c r="C42" s="135"/>
      <c r="D42" s="135"/>
    </row>
    <row r="43" spans="2:4" x14ac:dyDescent="0.35">
      <c r="B43" s="3" t="s">
        <v>9</v>
      </c>
      <c r="C43" s="13">
        <f>C8</f>
        <v>5000</v>
      </c>
      <c r="D43" s="5" t="s">
        <v>48</v>
      </c>
    </row>
    <row r="44" spans="2:4" x14ac:dyDescent="0.35">
      <c r="B44" s="3" t="s">
        <v>49</v>
      </c>
      <c r="C44" s="14">
        <f>-C34</f>
        <v>-1454.1100000000001</v>
      </c>
      <c r="D44" s="5" t="s">
        <v>48</v>
      </c>
    </row>
    <row r="45" spans="2:4" x14ac:dyDescent="0.35">
      <c r="B45" s="10" t="s">
        <v>50</v>
      </c>
      <c r="C45" s="11">
        <f>C43+C44</f>
        <v>3545.89</v>
      </c>
      <c r="D45" s="5" t="s">
        <v>41</v>
      </c>
    </row>
    <row r="46" spans="2:4" x14ac:dyDescent="0.35">
      <c r="B46" s="3" t="s">
        <v>51</v>
      </c>
      <c r="C46" s="15">
        <f>C7</f>
        <v>55</v>
      </c>
      <c r="D46" s="5" t="s">
        <v>48</v>
      </c>
    </row>
    <row r="47" spans="2:4" x14ac:dyDescent="0.35">
      <c r="B47" s="10" t="s">
        <v>52</v>
      </c>
      <c r="C47" s="16">
        <f>C45/C46</f>
        <v>64.470727272727274</v>
      </c>
      <c r="D47" s="5" t="s">
        <v>41</v>
      </c>
    </row>
    <row r="49" spans="2:4" x14ac:dyDescent="0.35">
      <c r="B49" s="3" t="s">
        <v>53</v>
      </c>
      <c r="C49" s="14">
        <f>C7*C37</f>
        <v>2753.85</v>
      </c>
      <c r="D49" s="5" t="s">
        <v>41</v>
      </c>
    </row>
    <row r="50" spans="2:4" x14ac:dyDescent="0.35">
      <c r="B50" s="3" t="s">
        <v>54</v>
      </c>
      <c r="C50" s="14">
        <f>C7*C38</f>
        <v>2990.9</v>
      </c>
      <c r="D50" s="5" t="s">
        <v>41</v>
      </c>
    </row>
    <row r="52" spans="2:4" ht="18" customHeight="1" x14ac:dyDescent="0.35">
      <c r="B52" s="135" t="s">
        <v>55</v>
      </c>
      <c r="C52" s="135"/>
      <c r="D52" s="135"/>
    </row>
    <row r="53" spans="2:4" x14ac:dyDescent="0.35">
      <c r="B53" s="10" t="s">
        <v>56</v>
      </c>
      <c r="C53" s="17">
        <f>C8/C18</f>
        <v>1.8129144775724351</v>
      </c>
      <c r="D53" s="5" t="s">
        <v>41</v>
      </c>
    </row>
    <row r="54" spans="2:4" x14ac:dyDescent="0.35">
      <c r="B54" s="10" t="s">
        <v>57</v>
      </c>
      <c r="C54" s="17">
        <f>C8/C19</f>
        <v>11.188185276348177</v>
      </c>
      <c r="D54" s="5" t="s">
        <v>41</v>
      </c>
    </row>
    <row r="56" spans="2:4" ht="42" customHeight="1" x14ac:dyDescent="0.35">
      <c r="B56" s="136" t="s">
        <v>58</v>
      </c>
      <c r="C56" s="136"/>
      <c r="D56" s="136"/>
    </row>
  </sheetData>
  <mergeCells count="10">
    <mergeCell ref="B1:D1"/>
    <mergeCell ref="B2:D2"/>
    <mergeCell ref="B3:D3"/>
    <mergeCell ref="B6:D6"/>
    <mergeCell ref="B17:D17"/>
    <mergeCell ref="B28:D28"/>
    <mergeCell ref="B36:D36"/>
    <mergeCell ref="B42:D42"/>
    <mergeCell ref="B52:D52"/>
    <mergeCell ref="B56:D56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2DF9E-DE58-4FDD-BE11-69A5B628734D}">
  <dimension ref="A1:D40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3.26953125" customWidth="1"/>
    <col min="2" max="2" width="62.7265625" customWidth="1"/>
    <col min="3" max="3" width="20" customWidth="1"/>
    <col min="4" max="4" width="41.81640625" customWidth="1"/>
  </cols>
  <sheetData>
    <row r="1" spans="1:4" ht="16.5" x14ac:dyDescent="0.35">
      <c r="A1" s="18"/>
      <c r="B1" s="140" t="s">
        <v>59</v>
      </c>
      <c r="C1" s="140"/>
      <c r="D1" s="140"/>
    </row>
    <row r="2" spans="1:4" x14ac:dyDescent="0.35">
      <c r="A2" s="18"/>
      <c r="B2" s="141" t="s">
        <v>60</v>
      </c>
      <c r="C2" s="141"/>
      <c r="D2" s="141"/>
    </row>
    <row r="3" spans="1:4" ht="22" customHeight="1" x14ac:dyDescent="0.35">
      <c r="A3" s="18"/>
      <c r="B3" s="19" t="s">
        <v>61</v>
      </c>
      <c r="C3" s="19"/>
      <c r="D3" s="19"/>
    </row>
    <row r="4" spans="1:4" x14ac:dyDescent="0.35">
      <c r="A4" s="18"/>
      <c r="B4" s="18"/>
      <c r="C4" s="18"/>
      <c r="D4" s="18"/>
    </row>
    <row r="5" spans="1:4" x14ac:dyDescent="0.35">
      <c r="A5" s="18"/>
      <c r="B5" s="20" t="s">
        <v>62</v>
      </c>
      <c r="C5" s="20" t="s">
        <v>4</v>
      </c>
      <c r="D5" s="23" t="s">
        <v>5</v>
      </c>
    </row>
    <row r="6" spans="1:4" x14ac:dyDescent="0.35">
      <c r="A6" s="18"/>
      <c r="B6" s="26" t="s">
        <v>7</v>
      </c>
      <c r="C6" s="27">
        <f>'Transaction Data'!C7</f>
        <v>55</v>
      </c>
      <c r="D6" s="28" t="s">
        <v>63</v>
      </c>
    </row>
    <row r="7" spans="1:4" x14ac:dyDescent="0.35">
      <c r="A7" s="18"/>
      <c r="B7" s="26" t="s">
        <v>16</v>
      </c>
      <c r="C7" s="29" t="str">
        <f>'Transaction Data'!C13</f>
        <v>All-cash take-private</v>
      </c>
      <c r="D7" s="28" t="s">
        <v>64</v>
      </c>
    </row>
    <row r="8" spans="1:4" x14ac:dyDescent="0.35">
      <c r="A8" s="18"/>
      <c r="B8" s="26" t="s">
        <v>9</v>
      </c>
      <c r="C8" s="30">
        <f>'Transaction Data'!C8</f>
        <v>5000</v>
      </c>
      <c r="D8" s="28" t="s">
        <v>65</v>
      </c>
    </row>
    <row r="9" spans="1:4" x14ac:dyDescent="0.35">
      <c r="A9" s="18"/>
      <c r="B9" s="26" t="s">
        <v>13</v>
      </c>
      <c r="C9" s="30">
        <f>'Transaction Data'!C11</f>
        <v>5200</v>
      </c>
      <c r="D9" s="28" t="s">
        <v>66</v>
      </c>
    </row>
    <row r="10" spans="1:4" x14ac:dyDescent="0.35">
      <c r="A10" s="18"/>
      <c r="B10" s="26" t="s">
        <v>20</v>
      </c>
      <c r="C10" s="29" t="str">
        <f>'Transaction Data'!C15</f>
        <v>Q4 2026</v>
      </c>
      <c r="D10" s="28" t="s">
        <v>67</v>
      </c>
    </row>
    <row r="11" spans="1:4" x14ac:dyDescent="0.35">
      <c r="A11" s="18"/>
      <c r="B11" s="26" t="s">
        <v>18</v>
      </c>
      <c r="C11" s="29" t="str">
        <f>'Transaction Data'!C14</f>
        <v>27 Aug 2026</v>
      </c>
      <c r="D11" s="28" t="s">
        <v>68</v>
      </c>
    </row>
    <row r="12" spans="1:4" x14ac:dyDescent="0.35">
      <c r="A12" s="18"/>
      <c r="B12" s="18"/>
      <c r="C12" s="21"/>
      <c r="D12" s="24"/>
    </row>
    <row r="13" spans="1:4" x14ac:dyDescent="0.35">
      <c r="A13" s="18"/>
      <c r="B13" s="20" t="s">
        <v>69</v>
      </c>
      <c r="C13" s="22"/>
      <c r="D13" s="25"/>
    </row>
    <row r="14" spans="1:4" x14ac:dyDescent="0.35">
      <c r="A14" s="18"/>
      <c r="B14" s="26" t="s">
        <v>9</v>
      </c>
      <c r="C14" s="30">
        <f>'Transaction Data'!C8</f>
        <v>5000</v>
      </c>
      <c r="D14" s="28" t="s">
        <v>65</v>
      </c>
    </row>
    <row r="15" spans="1:4" x14ac:dyDescent="0.35">
      <c r="A15" s="18"/>
      <c r="B15" s="26" t="s">
        <v>70</v>
      </c>
      <c r="C15" s="39">
        <f>-'Transaction Data'!C34</f>
        <v>-1454.1100000000001</v>
      </c>
      <c r="D15" s="28" t="s">
        <v>71</v>
      </c>
    </row>
    <row r="16" spans="1:4" x14ac:dyDescent="0.35">
      <c r="A16" s="18"/>
      <c r="B16" s="31" t="s">
        <v>72</v>
      </c>
      <c r="C16" s="32">
        <f>C14+C15</f>
        <v>3545.89</v>
      </c>
      <c r="D16" s="28" t="s">
        <v>41</v>
      </c>
    </row>
    <row r="17" spans="1:4" x14ac:dyDescent="0.35">
      <c r="A17" s="18"/>
      <c r="B17" s="26" t="s">
        <v>73</v>
      </c>
      <c r="C17" s="27">
        <f>'Transaction Data'!C7</f>
        <v>55</v>
      </c>
      <c r="D17" s="28" t="s">
        <v>63</v>
      </c>
    </row>
    <row r="18" spans="1:4" x14ac:dyDescent="0.35">
      <c r="A18" s="18"/>
      <c r="B18" s="31" t="s">
        <v>74</v>
      </c>
      <c r="C18" s="33">
        <f>C16/C17</f>
        <v>64.470727272727274</v>
      </c>
      <c r="D18" s="28" t="s">
        <v>41</v>
      </c>
    </row>
    <row r="19" spans="1:4" x14ac:dyDescent="0.35">
      <c r="A19" s="18"/>
      <c r="B19" s="18"/>
      <c r="C19" s="21"/>
      <c r="D19" s="24"/>
    </row>
    <row r="20" spans="1:4" x14ac:dyDescent="0.35">
      <c r="A20" s="18"/>
      <c r="B20" s="26" t="s">
        <v>75</v>
      </c>
      <c r="C20" s="34">
        <f>'Transaction Data'!C7*'Transaction Data'!C37</f>
        <v>2753.85</v>
      </c>
      <c r="D20" s="28" t="s">
        <v>76</v>
      </c>
    </row>
    <row r="21" spans="1:4" x14ac:dyDescent="0.35">
      <c r="A21" s="18"/>
      <c r="B21" s="26" t="s">
        <v>77</v>
      </c>
      <c r="C21" s="34">
        <f>'Transaction Data'!C7*'Transaction Data'!C38</f>
        <v>2990.9</v>
      </c>
      <c r="D21" s="28" t="s">
        <v>76</v>
      </c>
    </row>
    <row r="22" spans="1:4" x14ac:dyDescent="0.35">
      <c r="A22" s="18"/>
      <c r="B22" s="18"/>
      <c r="C22" s="21"/>
      <c r="D22" s="24"/>
    </row>
    <row r="23" spans="1:4" x14ac:dyDescent="0.35">
      <c r="A23" s="18"/>
      <c r="B23" s="20" t="s">
        <v>78</v>
      </c>
      <c r="C23" s="22"/>
      <c r="D23" s="25"/>
    </row>
    <row r="24" spans="1:4" x14ac:dyDescent="0.35">
      <c r="A24" s="18"/>
      <c r="B24" s="35" t="s">
        <v>79</v>
      </c>
      <c r="C24" s="36">
        <f>$C$14/'Transaction Data'!C18</f>
        <v>1.8129144775724351</v>
      </c>
      <c r="D24" s="28" t="s">
        <v>80</v>
      </c>
    </row>
    <row r="25" spans="1:4" x14ac:dyDescent="0.35">
      <c r="A25" s="18"/>
      <c r="B25" s="35" t="s">
        <v>57</v>
      </c>
      <c r="C25" s="36">
        <f>$C$14/'Transaction Data'!C19</f>
        <v>11.188185276348177</v>
      </c>
      <c r="D25" s="28" t="s">
        <v>81</v>
      </c>
    </row>
    <row r="26" spans="1:4" x14ac:dyDescent="0.35">
      <c r="A26" s="18"/>
      <c r="B26" s="35" t="s">
        <v>82</v>
      </c>
      <c r="C26" s="36">
        <f>$C$14/'Transaction Data'!C20</f>
        <v>21.367521367521366</v>
      </c>
      <c r="D26" s="28" t="s">
        <v>83</v>
      </c>
    </row>
    <row r="27" spans="1:4" x14ac:dyDescent="0.35">
      <c r="A27" s="18"/>
      <c r="B27" s="18"/>
      <c r="C27" s="21"/>
      <c r="D27" s="24"/>
    </row>
    <row r="28" spans="1:4" x14ac:dyDescent="0.35">
      <c r="A28" s="18"/>
      <c r="B28" s="20" t="s">
        <v>84</v>
      </c>
      <c r="C28" s="22"/>
      <c r="D28" s="25"/>
    </row>
    <row r="29" spans="1:4" x14ac:dyDescent="0.35">
      <c r="A29" s="18"/>
      <c r="B29" s="26" t="s">
        <v>85</v>
      </c>
      <c r="C29" s="37">
        <f>'Transaction Data'!C7</f>
        <v>55</v>
      </c>
      <c r="D29" s="28" t="s">
        <v>63</v>
      </c>
    </row>
    <row r="30" spans="1:4" x14ac:dyDescent="0.35">
      <c r="A30" s="18"/>
      <c r="B30" s="26" t="s">
        <v>86</v>
      </c>
      <c r="C30" s="37">
        <f>$C$29/(1+'Transaction Data'!C9)</f>
        <v>35.714285714285715</v>
      </c>
      <c r="D30" s="28" t="s">
        <v>87</v>
      </c>
    </row>
    <row r="31" spans="1:4" x14ac:dyDescent="0.35">
      <c r="A31" s="18"/>
      <c r="B31" s="26" t="s">
        <v>88</v>
      </c>
      <c r="C31" s="37">
        <f>$C$29/(1+'Transaction Data'!C10)</f>
        <v>46.689303904923605</v>
      </c>
      <c r="D31" s="28" t="s">
        <v>89</v>
      </c>
    </row>
    <row r="32" spans="1:4" x14ac:dyDescent="0.35">
      <c r="A32" s="18"/>
      <c r="B32" s="26" t="s">
        <v>10</v>
      </c>
      <c r="C32" s="38">
        <f>'Transaction Data'!C9</f>
        <v>0.54</v>
      </c>
      <c r="D32" s="28" t="s">
        <v>90</v>
      </c>
    </row>
    <row r="33" spans="1:4" x14ac:dyDescent="0.35">
      <c r="A33" s="18"/>
      <c r="B33" s="26" t="s">
        <v>11</v>
      </c>
      <c r="C33" s="38">
        <f>'Transaction Data'!C10</f>
        <v>0.17799999999999999</v>
      </c>
      <c r="D33" s="28" t="s">
        <v>91</v>
      </c>
    </row>
    <row r="34" spans="1:4" x14ac:dyDescent="0.35">
      <c r="A34" s="18"/>
      <c r="B34" s="18"/>
      <c r="C34" s="18"/>
      <c r="D34" s="24"/>
    </row>
    <row r="35" spans="1:4" ht="42" customHeight="1" x14ac:dyDescent="0.35">
      <c r="A35" s="18"/>
      <c r="B35" s="142" t="s">
        <v>92</v>
      </c>
      <c r="C35" s="142"/>
      <c r="D35" s="142"/>
    </row>
    <row r="36" spans="1:4" x14ac:dyDescent="0.35">
      <c r="A36" s="18"/>
      <c r="B36" s="18"/>
      <c r="C36" s="18"/>
      <c r="D36" s="18"/>
    </row>
    <row r="37" spans="1:4" x14ac:dyDescent="0.35">
      <c r="A37" s="18"/>
      <c r="B37" s="18"/>
      <c r="C37" s="18"/>
      <c r="D37" s="18"/>
    </row>
    <row r="38" spans="1:4" x14ac:dyDescent="0.35">
      <c r="A38" s="18"/>
      <c r="B38" s="18"/>
      <c r="C38" s="18"/>
      <c r="D38" s="18"/>
    </row>
    <row r="39" spans="1:4" x14ac:dyDescent="0.35">
      <c r="A39" s="18"/>
      <c r="B39" s="18"/>
      <c r="C39" s="18"/>
      <c r="D39" s="18"/>
    </row>
    <row r="40" spans="1:4" x14ac:dyDescent="0.35">
      <c r="A40" s="18"/>
      <c r="B40" s="18"/>
      <c r="C40" s="18"/>
      <c r="D40" s="18"/>
    </row>
  </sheetData>
  <mergeCells count="3">
    <mergeCell ref="B1:D1"/>
    <mergeCell ref="B2:D2"/>
    <mergeCell ref="B35:D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F84C-3F09-403A-9AAC-75D8593CDDF4}">
  <dimension ref="B1:D36"/>
  <sheetViews>
    <sheetView showGridLines="0" workbookViewId="0">
      <pane ySplit="10" topLeftCell="A30" activePane="bottomLeft" state="frozen"/>
      <selection pane="bottomLeft"/>
    </sheetView>
  </sheetViews>
  <sheetFormatPr defaultRowHeight="14.5" x14ac:dyDescent="0.35"/>
  <cols>
    <col min="1" max="1" width="3.26953125" customWidth="1"/>
    <col min="2" max="2" width="58.1796875" customWidth="1"/>
    <col min="3" max="3" width="19.08984375" customWidth="1"/>
    <col min="4" max="4" width="54.54296875" customWidth="1"/>
  </cols>
  <sheetData>
    <row r="1" spans="2:4" ht="16.5" x14ac:dyDescent="0.35">
      <c r="B1" s="140" t="s">
        <v>59</v>
      </c>
      <c r="C1" s="140"/>
      <c r="D1" s="140"/>
    </row>
    <row r="2" spans="2:4" x14ac:dyDescent="0.35">
      <c r="B2" s="141" t="s">
        <v>93</v>
      </c>
      <c r="C2" s="141"/>
      <c r="D2" s="141"/>
    </row>
    <row r="3" spans="2:4" x14ac:dyDescent="0.35">
      <c r="B3" s="143" t="s">
        <v>94</v>
      </c>
      <c r="C3" s="143"/>
      <c r="D3" s="143"/>
    </row>
    <row r="5" spans="2:4" x14ac:dyDescent="0.35">
      <c r="B5" s="20" t="s">
        <v>95</v>
      </c>
      <c r="C5" s="22" t="s">
        <v>4</v>
      </c>
      <c r="D5" s="23" t="s">
        <v>96</v>
      </c>
    </row>
    <row r="6" spans="2:4" x14ac:dyDescent="0.35">
      <c r="B6" s="26" t="s">
        <v>97</v>
      </c>
      <c r="C6" s="40">
        <v>5.5</v>
      </c>
      <c r="D6" s="28" t="s">
        <v>98</v>
      </c>
    </row>
    <row r="7" spans="2:4" x14ac:dyDescent="0.35">
      <c r="B7" s="26" t="s">
        <v>99</v>
      </c>
      <c r="C7" s="41">
        <v>2.5000000000000001E-2</v>
      </c>
      <c r="D7" s="28" t="s">
        <v>100</v>
      </c>
    </row>
    <row r="8" spans="2:4" x14ac:dyDescent="0.35">
      <c r="B8" s="26" t="s">
        <v>101</v>
      </c>
      <c r="C8" s="41">
        <v>1.4999999999999999E-2</v>
      </c>
      <c r="D8" s="28" t="s">
        <v>102</v>
      </c>
    </row>
    <row r="9" spans="2:4" x14ac:dyDescent="0.35">
      <c r="B9" s="26" t="s">
        <v>103</v>
      </c>
      <c r="C9" s="42">
        <v>0</v>
      </c>
      <c r="D9" s="28" t="s">
        <v>104</v>
      </c>
    </row>
    <row r="10" spans="2:4" x14ac:dyDescent="0.35">
      <c r="B10" s="26" t="s">
        <v>105</v>
      </c>
      <c r="C10" s="42">
        <v>0</v>
      </c>
      <c r="D10" s="28" t="s">
        <v>106</v>
      </c>
    </row>
    <row r="12" spans="2:4" x14ac:dyDescent="0.35">
      <c r="B12" s="20" t="s">
        <v>107</v>
      </c>
      <c r="C12" s="22" t="s">
        <v>108</v>
      </c>
      <c r="D12" s="23" t="s">
        <v>96</v>
      </c>
    </row>
    <row r="13" spans="2:4" x14ac:dyDescent="0.35">
      <c r="B13" s="26" t="s">
        <v>109</v>
      </c>
      <c r="C13" s="43">
        <f>'1 · Transaction Overview'!C16</f>
        <v>3545.89</v>
      </c>
      <c r="D13" s="28" t="s">
        <v>110</v>
      </c>
    </row>
    <row r="14" spans="2:4" x14ac:dyDescent="0.35">
      <c r="B14" s="26" t="s">
        <v>111</v>
      </c>
      <c r="C14" s="43">
        <f>'Transaction Data'!C29</f>
        <v>1472.4</v>
      </c>
      <c r="D14" s="28" t="s">
        <v>112</v>
      </c>
    </row>
    <row r="15" spans="2:4" x14ac:dyDescent="0.35">
      <c r="B15" s="26" t="s">
        <v>113</v>
      </c>
      <c r="C15" s="44">
        <f>$C$7*(C20+C21)</f>
        <v>61.448749999999997</v>
      </c>
      <c r="D15" s="45" t="s">
        <v>114</v>
      </c>
    </row>
    <row r="16" spans="2:4" x14ac:dyDescent="0.35">
      <c r="B16" s="26" t="s">
        <v>115</v>
      </c>
      <c r="C16" s="44">
        <f>$C$8*'Transaction Data'!C8</f>
        <v>75</v>
      </c>
      <c r="D16" s="45" t="s">
        <v>116</v>
      </c>
    </row>
    <row r="17" spans="2:4" x14ac:dyDescent="0.35">
      <c r="B17" s="31" t="s">
        <v>117</v>
      </c>
      <c r="C17" s="46">
        <f>SUM(C13:C16)</f>
        <v>5154.7387499999995</v>
      </c>
      <c r="D17" s="28" t="s">
        <v>118</v>
      </c>
    </row>
    <row r="19" spans="2:4" x14ac:dyDescent="0.35">
      <c r="B19" s="20" t="s">
        <v>119</v>
      </c>
      <c r="C19" s="22" t="s">
        <v>108</v>
      </c>
      <c r="D19" s="23" t="s">
        <v>96</v>
      </c>
    </row>
    <row r="20" spans="2:4" x14ac:dyDescent="0.35">
      <c r="B20" s="26" t="s">
        <v>120</v>
      </c>
      <c r="C20" s="44">
        <f>$C$6*'Transaction Data'!C19</f>
        <v>2457.9499999999998</v>
      </c>
      <c r="D20" s="45" t="s">
        <v>121</v>
      </c>
    </row>
    <row r="21" spans="2:4" x14ac:dyDescent="0.35">
      <c r="B21" s="26" t="s">
        <v>103</v>
      </c>
      <c r="C21" s="44">
        <f>$C$9</f>
        <v>0</v>
      </c>
      <c r="D21" s="45" t="s">
        <v>122</v>
      </c>
    </row>
    <row r="22" spans="2:4" x14ac:dyDescent="0.35">
      <c r="B22" s="26" t="s">
        <v>123</v>
      </c>
      <c r="C22" s="44">
        <f>$C$10</f>
        <v>0</v>
      </c>
      <c r="D22" s="45" t="s">
        <v>124</v>
      </c>
    </row>
    <row r="23" spans="2:4" x14ac:dyDescent="0.35">
      <c r="B23" s="26" t="s">
        <v>125</v>
      </c>
      <c r="C23" s="44">
        <f>$C$17-C20-C21-C22</f>
        <v>2696.7887499999997</v>
      </c>
      <c r="D23" s="28" t="s">
        <v>126</v>
      </c>
    </row>
    <row r="24" spans="2:4" x14ac:dyDescent="0.35">
      <c r="B24" s="31" t="s">
        <v>127</v>
      </c>
      <c r="C24" s="46">
        <f>SUM(C20:C23)</f>
        <v>5154.7387499999995</v>
      </c>
      <c r="D24" s="28" t="s">
        <v>128</v>
      </c>
    </row>
    <row r="26" spans="2:4" x14ac:dyDescent="0.35">
      <c r="B26" s="20" t="s">
        <v>129</v>
      </c>
      <c r="C26" s="22" t="s">
        <v>4</v>
      </c>
      <c r="D26" s="23" t="s">
        <v>96</v>
      </c>
    </row>
    <row r="27" spans="2:4" x14ac:dyDescent="0.35">
      <c r="B27" s="35" t="s">
        <v>130</v>
      </c>
      <c r="C27" s="47">
        <f>C24-C17</f>
        <v>0</v>
      </c>
      <c r="D27" s="28" t="s">
        <v>131</v>
      </c>
    </row>
    <row r="28" spans="2:4" x14ac:dyDescent="0.35">
      <c r="B28" s="26" t="s">
        <v>132</v>
      </c>
      <c r="C28" s="48">
        <f>(C20+C21)/'Transaction Data'!C19</f>
        <v>5.5</v>
      </c>
      <c r="D28" s="28" t="s">
        <v>133</v>
      </c>
    </row>
    <row r="29" spans="2:4" x14ac:dyDescent="0.35">
      <c r="B29" s="26" t="s">
        <v>134</v>
      </c>
      <c r="C29" s="49">
        <f>C23/C24</f>
        <v>0.52316691122319248</v>
      </c>
      <c r="D29" s="28" t="s">
        <v>135</v>
      </c>
    </row>
    <row r="31" spans="2:4" x14ac:dyDescent="0.35">
      <c r="B31" s="26" t="s">
        <v>136</v>
      </c>
      <c r="C31" s="44">
        <f>C20+C21+C23</f>
        <v>5154.7387499999995</v>
      </c>
      <c r="D31" s="28" t="s">
        <v>137</v>
      </c>
    </row>
    <row r="32" spans="2:4" x14ac:dyDescent="0.35">
      <c r="B32" s="26" t="s">
        <v>13</v>
      </c>
      <c r="C32" s="43">
        <f>'Transaction Data'!C11</f>
        <v>5200</v>
      </c>
      <c r="D32" s="28" t="s">
        <v>138</v>
      </c>
    </row>
    <row r="33" spans="2:4" x14ac:dyDescent="0.35">
      <c r="B33" s="26" t="s">
        <v>139</v>
      </c>
      <c r="C33" s="50">
        <f>C31-C32</f>
        <v>-45.261250000000473</v>
      </c>
      <c r="D33" s="28" t="s">
        <v>140</v>
      </c>
    </row>
    <row r="34" spans="2:4" x14ac:dyDescent="0.35">
      <c r="B34" s="26" t="s">
        <v>141</v>
      </c>
      <c r="C34" s="51">
        <f>C33/C32</f>
        <v>-8.7040865384616292E-3</v>
      </c>
      <c r="D34" s="28" t="s">
        <v>142</v>
      </c>
    </row>
    <row r="36" spans="2:4" ht="46" customHeight="1" x14ac:dyDescent="0.35">
      <c r="B36" s="144" t="s">
        <v>143</v>
      </c>
      <c r="C36" s="144"/>
      <c r="D36" s="144"/>
    </row>
  </sheetData>
  <mergeCells count="4">
    <mergeCell ref="B1:D1"/>
    <mergeCell ref="B2:D2"/>
    <mergeCell ref="B3:D3"/>
    <mergeCell ref="B36:D36"/>
  </mergeCells>
  <conditionalFormatting sqref="C27">
    <cfRule type="expression" dxfId="0" priority="1">
      <formula>ROUND(C27,6)&lt;&gt;0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3D8E4-7194-4A8C-B27C-0840B9BAE933}">
  <dimension ref="A1:I40"/>
  <sheetViews>
    <sheetView showGridLines="0" workbookViewId="0">
      <pane xSplit="2" ySplit="5" topLeftCell="C23" activePane="bottomRight" state="frozen"/>
      <selection pane="topRight" activeCell="C1" sqref="C1"/>
      <selection pane="bottomLeft" activeCell="A6" sqref="A6"/>
      <selection pane="bottomRight"/>
    </sheetView>
  </sheetViews>
  <sheetFormatPr defaultRowHeight="14.5" x14ac:dyDescent="0.35"/>
  <cols>
    <col min="1" max="1" width="3.26953125" customWidth="1"/>
    <col min="2" max="2" width="54.54296875" customWidth="1"/>
    <col min="3" max="8" width="14.90625" customWidth="1"/>
    <col min="9" max="9" width="78.1796875" customWidth="1"/>
  </cols>
  <sheetData>
    <row r="1" spans="1:9" ht="20" customHeight="1" x14ac:dyDescent="0.35">
      <c r="A1" s="18"/>
      <c r="B1" s="140" t="s">
        <v>59</v>
      </c>
      <c r="C1" s="140"/>
      <c r="D1" s="140"/>
      <c r="E1" s="140"/>
      <c r="F1" s="140"/>
      <c r="G1" s="140"/>
      <c r="H1" s="140"/>
      <c r="I1" s="140"/>
    </row>
    <row r="2" spans="1:9" ht="20" customHeight="1" x14ac:dyDescent="0.35">
      <c r="A2" s="18"/>
      <c r="B2" s="141" t="s">
        <v>144</v>
      </c>
      <c r="C2" s="141"/>
      <c r="D2" s="141"/>
      <c r="E2" s="141"/>
      <c r="F2" s="141"/>
      <c r="G2" s="141"/>
      <c r="H2" s="141"/>
      <c r="I2" s="141"/>
    </row>
    <row r="3" spans="1:9" ht="20" customHeight="1" x14ac:dyDescent="0.35">
      <c r="A3" s="18"/>
      <c r="B3" s="145" t="s">
        <v>145</v>
      </c>
      <c r="C3" s="145"/>
      <c r="D3" s="145"/>
      <c r="E3" s="145"/>
      <c r="F3" s="145"/>
      <c r="G3" s="145"/>
      <c r="H3" s="145"/>
      <c r="I3" s="145"/>
    </row>
    <row r="4" spans="1:9" x14ac:dyDescent="0.35">
      <c r="A4" s="18"/>
      <c r="B4" s="18"/>
      <c r="C4" s="18"/>
      <c r="D4" s="18"/>
      <c r="E4" s="18"/>
      <c r="F4" s="18"/>
      <c r="G4" s="18"/>
      <c r="H4" s="18"/>
      <c r="I4" s="18"/>
    </row>
    <row r="5" spans="1:9" x14ac:dyDescent="0.35">
      <c r="A5" s="18"/>
      <c r="B5" s="70" t="s">
        <v>146</v>
      </c>
      <c r="C5" s="71" t="s">
        <v>147</v>
      </c>
      <c r="D5" s="71" t="s">
        <v>148</v>
      </c>
      <c r="E5" s="71" t="s">
        <v>149</v>
      </c>
      <c r="F5" s="71" t="s">
        <v>150</v>
      </c>
      <c r="G5" s="71" t="s">
        <v>151</v>
      </c>
      <c r="H5" s="71" t="s">
        <v>152</v>
      </c>
      <c r="I5" s="72" t="s">
        <v>96</v>
      </c>
    </row>
    <row r="6" spans="1:9" x14ac:dyDescent="0.35">
      <c r="A6" s="18"/>
      <c r="B6" s="53" t="s">
        <v>153</v>
      </c>
      <c r="C6" s="18"/>
      <c r="D6" s="54">
        <v>0.05</v>
      </c>
      <c r="E6" s="54">
        <v>0.05</v>
      </c>
      <c r="F6" s="54">
        <v>0.05</v>
      </c>
      <c r="G6" s="54">
        <v>0.05</v>
      </c>
      <c r="H6" s="54">
        <v>0.05</v>
      </c>
      <c r="I6" s="52" t="s">
        <v>154</v>
      </c>
    </row>
    <row r="7" spans="1:9" x14ac:dyDescent="0.35">
      <c r="A7" s="18"/>
      <c r="B7" s="53" t="s">
        <v>155</v>
      </c>
      <c r="C7" s="18"/>
      <c r="D7" s="54">
        <v>0.16200000000000001</v>
      </c>
      <c r="E7" s="54">
        <v>0.16500000000000001</v>
      </c>
      <c r="F7" s="54">
        <v>0.16800000000000001</v>
      </c>
      <c r="G7" s="54">
        <v>0.17100000000000001</v>
      </c>
      <c r="H7" s="54">
        <v>0.17399999999999999</v>
      </c>
      <c r="I7" s="52" t="s">
        <v>156</v>
      </c>
    </row>
    <row r="8" spans="1:9" x14ac:dyDescent="0.35">
      <c r="A8" s="18"/>
      <c r="B8" s="53" t="s">
        <v>157</v>
      </c>
      <c r="C8" s="18"/>
      <c r="D8" s="54">
        <v>3.5000000000000003E-2</v>
      </c>
      <c r="E8" s="54">
        <v>3.5000000000000003E-2</v>
      </c>
      <c r="F8" s="54">
        <v>3.5000000000000003E-2</v>
      </c>
      <c r="G8" s="54">
        <v>3.5000000000000003E-2</v>
      </c>
      <c r="H8" s="54">
        <v>3.5000000000000003E-2</v>
      </c>
      <c r="I8" s="52" t="s">
        <v>158</v>
      </c>
    </row>
    <row r="9" spans="1:9" x14ac:dyDescent="0.35">
      <c r="A9" s="18"/>
      <c r="B9" s="53" t="s">
        <v>159</v>
      </c>
      <c r="C9" s="18"/>
      <c r="D9" s="54">
        <v>6.0000000000000001E-3</v>
      </c>
      <c r="E9" s="54">
        <v>6.0000000000000001E-3</v>
      </c>
      <c r="F9" s="54">
        <v>6.0000000000000001E-3</v>
      </c>
      <c r="G9" s="54">
        <v>6.0000000000000001E-3</v>
      </c>
      <c r="H9" s="54">
        <v>6.0000000000000001E-3</v>
      </c>
      <c r="I9" s="52" t="s">
        <v>160</v>
      </c>
    </row>
    <row r="10" spans="1:9" x14ac:dyDescent="0.35">
      <c r="A10" s="18"/>
      <c r="B10" s="55" t="s">
        <v>161</v>
      </c>
      <c r="C10" s="56"/>
      <c r="D10" s="7">
        <v>0.08</v>
      </c>
      <c r="E10" s="7">
        <v>0.08</v>
      </c>
      <c r="F10" s="7">
        <v>0.08</v>
      </c>
      <c r="G10" s="7">
        <v>0.08</v>
      </c>
      <c r="H10" s="7">
        <v>0.08</v>
      </c>
      <c r="I10" s="57" t="s">
        <v>162</v>
      </c>
    </row>
    <row r="11" spans="1:9" x14ac:dyDescent="0.35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35">
      <c r="A12" s="18"/>
      <c r="B12" s="70" t="s">
        <v>163</v>
      </c>
      <c r="C12" s="71" t="s">
        <v>147</v>
      </c>
      <c r="D12" s="71" t="s">
        <v>148</v>
      </c>
      <c r="E12" s="71" t="s">
        <v>149</v>
      </c>
      <c r="F12" s="71" t="s">
        <v>150</v>
      </c>
      <c r="G12" s="71" t="s">
        <v>151</v>
      </c>
      <c r="H12" s="71" t="s">
        <v>152</v>
      </c>
      <c r="I12" s="72" t="s">
        <v>96</v>
      </c>
    </row>
    <row r="13" spans="1:9" x14ac:dyDescent="0.35">
      <c r="A13" s="18"/>
      <c r="B13" s="53" t="s">
        <v>164</v>
      </c>
      <c r="C13" s="60">
        <f>'Transaction Data'!C18</f>
        <v>2757.99</v>
      </c>
      <c r="D13" s="61">
        <f>C13*(1+D6)</f>
        <v>2895.8894999999998</v>
      </c>
      <c r="E13" s="61">
        <f t="shared" ref="E13:H13" si="0">D13*(1+E6)</f>
        <v>3040.6839749999999</v>
      </c>
      <c r="F13" s="61">
        <f t="shared" si="0"/>
        <v>3192.71817375</v>
      </c>
      <c r="G13" s="61">
        <f t="shared" si="0"/>
        <v>3352.3540824375</v>
      </c>
      <c r="H13" s="61">
        <f t="shared" si="0"/>
        <v>3519.9717865593752</v>
      </c>
      <c r="I13" s="52" t="s">
        <v>165</v>
      </c>
    </row>
    <row r="14" spans="1:9" x14ac:dyDescent="0.35">
      <c r="A14" s="18"/>
      <c r="B14" s="58" t="s">
        <v>166</v>
      </c>
      <c r="C14" s="59"/>
      <c r="D14" s="59">
        <f>D13/C13-1</f>
        <v>5.0000000000000044E-2</v>
      </c>
      <c r="E14" s="59">
        <f t="shared" ref="E14:H14" si="1">E13/D13-1</f>
        <v>5.0000000000000044E-2</v>
      </c>
      <c r="F14" s="59">
        <f t="shared" si="1"/>
        <v>5.0000000000000044E-2</v>
      </c>
      <c r="G14" s="59">
        <f t="shared" si="1"/>
        <v>5.0000000000000044E-2</v>
      </c>
      <c r="H14" s="59">
        <f t="shared" si="1"/>
        <v>5.0000000000000044E-2</v>
      </c>
      <c r="I14" s="52" t="s">
        <v>167</v>
      </c>
    </row>
    <row r="15" spans="1:9" x14ac:dyDescent="0.35">
      <c r="A15" s="18"/>
      <c r="B15" s="53" t="s">
        <v>168</v>
      </c>
      <c r="C15" s="60">
        <f>'Transaction Data'!C19</f>
        <v>446.9</v>
      </c>
      <c r="D15" s="61">
        <f>D7*D13</f>
        <v>469.13409899999999</v>
      </c>
      <c r="E15" s="61">
        <f t="shared" ref="E15:H15" si="2">E7*E13</f>
        <v>501.712855875</v>
      </c>
      <c r="F15" s="61">
        <f t="shared" si="2"/>
        <v>536.37665319000007</v>
      </c>
      <c r="G15" s="61">
        <f t="shared" si="2"/>
        <v>573.25254809681257</v>
      </c>
      <c r="H15" s="61">
        <f t="shared" si="2"/>
        <v>612.4750908613313</v>
      </c>
      <c r="I15" s="52" t="s">
        <v>169</v>
      </c>
    </row>
    <row r="16" spans="1:9" x14ac:dyDescent="0.35">
      <c r="A16" s="18"/>
      <c r="B16" s="58" t="s">
        <v>170</v>
      </c>
      <c r="C16" s="59">
        <f>C15/C13</f>
        <v>0.16203829600542424</v>
      </c>
      <c r="D16" s="59">
        <f>D15/D13</f>
        <v>0.16200000000000001</v>
      </c>
      <c r="E16" s="59">
        <f t="shared" ref="E16:H16" si="3">E15/E13</f>
        <v>0.16500000000000001</v>
      </c>
      <c r="F16" s="59">
        <f t="shared" si="3"/>
        <v>0.16800000000000001</v>
      </c>
      <c r="G16" s="59">
        <f t="shared" si="3"/>
        <v>0.17100000000000001</v>
      </c>
      <c r="H16" s="59">
        <f t="shared" si="3"/>
        <v>0.17399999999999999</v>
      </c>
      <c r="I16" s="52" t="s">
        <v>171</v>
      </c>
    </row>
    <row r="17" spans="1:9" x14ac:dyDescent="0.35">
      <c r="A17" s="18"/>
      <c r="B17" s="53" t="s">
        <v>172</v>
      </c>
      <c r="C17" s="60">
        <f>'Transaction Data'!C21</f>
        <v>98.27</v>
      </c>
      <c r="D17" s="61">
        <f>D8*D13</f>
        <v>101.3561325</v>
      </c>
      <c r="E17" s="61">
        <f t="shared" ref="E17:H17" si="4">E8*E13</f>
        <v>106.423939125</v>
      </c>
      <c r="F17" s="61">
        <f t="shared" si="4"/>
        <v>111.74513608125001</v>
      </c>
      <c r="G17" s="61">
        <f t="shared" si="4"/>
        <v>117.33239288531252</v>
      </c>
      <c r="H17" s="61">
        <f t="shared" si="4"/>
        <v>123.19901252957814</v>
      </c>
      <c r="I17" s="52" t="s">
        <v>173</v>
      </c>
    </row>
    <row r="18" spans="1:9" x14ac:dyDescent="0.35">
      <c r="A18" s="18"/>
      <c r="B18" s="62" t="s">
        <v>174</v>
      </c>
      <c r="C18" s="63">
        <f>C15-C17</f>
        <v>348.63</v>
      </c>
      <c r="D18" s="63">
        <f>D15-D17</f>
        <v>367.77796649999999</v>
      </c>
      <c r="E18" s="63">
        <f t="shared" ref="E18:H18" si="5">E15-E17</f>
        <v>395.28891675</v>
      </c>
      <c r="F18" s="63">
        <f t="shared" si="5"/>
        <v>424.63151710875007</v>
      </c>
      <c r="G18" s="63">
        <f t="shared" si="5"/>
        <v>455.92015521150006</v>
      </c>
      <c r="H18" s="63">
        <f t="shared" si="5"/>
        <v>489.27607833175318</v>
      </c>
      <c r="I18" s="64" t="s">
        <v>175</v>
      </c>
    </row>
    <row r="19" spans="1:9" x14ac:dyDescent="0.35">
      <c r="A19" s="18"/>
      <c r="B19" s="58" t="s">
        <v>176</v>
      </c>
      <c r="C19" s="59">
        <f>C18/C13</f>
        <v>0.12640727486321562</v>
      </c>
      <c r="D19" s="59">
        <f>D18/D13</f>
        <v>0.127</v>
      </c>
      <c r="E19" s="59">
        <f t="shared" ref="E19:H19" si="6">E18/E13</f>
        <v>0.13</v>
      </c>
      <c r="F19" s="59">
        <f t="shared" si="6"/>
        <v>0.13300000000000003</v>
      </c>
      <c r="G19" s="59">
        <f t="shared" si="6"/>
        <v>0.13600000000000001</v>
      </c>
      <c r="H19" s="59">
        <f t="shared" si="6"/>
        <v>0.13900000000000001</v>
      </c>
      <c r="I19" s="52" t="s">
        <v>177</v>
      </c>
    </row>
    <row r="20" spans="1:9" x14ac:dyDescent="0.35">
      <c r="A20" s="18"/>
      <c r="B20" s="53" t="s">
        <v>178</v>
      </c>
      <c r="C20" s="60">
        <f>'Transaction Data'!C24-'Transaction Data'!C25</f>
        <v>17</v>
      </c>
      <c r="D20" s="61">
        <f>D9*D13</f>
        <v>17.375336999999998</v>
      </c>
      <c r="E20" s="61">
        <f t="shared" ref="E20:H20" si="7">E9*E13</f>
        <v>18.244103849999998</v>
      </c>
      <c r="F20" s="61">
        <f t="shared" si="7"/>
        <v>19.156309042500002</v>
      </c>
      <c r="G20" s="61">
        <f t="shared" si="7"/>
        <v>20.114124494624999</v>
      </c>
      <c r="H20" s="61">
        <f t="shared" si="7"/>
        <v>21.119830719356251</v>
      </c>
      <c r="I20" s="52" t="s">
        <v>179</v>
      </c>
    </row>
    <row r="21" spans="1:9" x14ac:dyDescent="0.35">
      <c r="A21" s="18"/>
      <c r="B21" s="53" t="s">
        <v>180</v>
      </c>
      <c r="C21" s="61"/>
      <c r="D21" s="61">
        <f>D10*(D13-C13)</f>
        <v>11.03196</v>
      </c>
      <c r="E21" s="61">
        <f t="shared" ref="E21:H21" si="8">E10*(E13-D13)</f>
        <v>11.583558000000012</v>
      </c>
      <c r="F21" s="61">
        <f t="shared" si="8"/>
        <v>12.162735900000007</v>
      </c>
      <c r="G21" s="61">
        <f t="shared" si="8"/>
        <v>12.770872694999998</v>
      </c>
      <c r="H21" s="61">
        <f t="shared" si="8"/>
        <v>13.40941632975002</v>
      </c>
      <c r="I21" s="64" t="s">
        <v>181</v>
      </c>
    </row>
    <row r="22" spans="1:9" x14ac:dyDescent="0.35">
      <c r="A22" s="18"/>
      <c r="B22" s="65" t="s">
        <v>182</v>
      </c>
      <c r="C22" s="66">
        <f>C15-C20-C21</f>
        <v>429.9</v>
      </c>
      <c r="D22" s="66">
        <f>D15-D20-D21</f>
        <v>440.72680199999996</v>
      </c>
      <c r="E22" s="66">
        <f t="shared" ref="E22:H22" si="9">E15-E20-E21</f>
        <v>471.88519402499998</v>
      </c>
      <c r="F22" s="66">
        <f t="shared" si="9"/>
        <v>505.05760824750007</v>
      </c>
      <c r="G22" s="66">
        <f t="shared" si="9"/>
        <v>540.36755090718759</v>
      </c>
      <c r="H22" s="66">
        <f t="shared" si="9"/>
        <v>577.94584381222501</v>
      </c>
      <c r="I22" s="67" t="s">
        <v>183</v>
      </c>
    </row>
    <row r="23" spans="1:9" x14ac:dyDescent="0.35">
      <c r="A23" s="18"/>
      <c r="B23" s="18"/>
      <c r="C23" s="18"/>
      <c r="D23" s="18"/>
      <c r="E23" s="18"/>
      <c r="F23" s="18"/>
      <c r="G23" s="18"/>
      <c r="H23" s="18"/>
      <c r="I23" s="18"/>
    </row>
    <row r="24" spans="1:9" x14ac:dyDescent="0.35">
      <c r="A24" s="18"/>
      <c r="B24" s="70" t="s">
        <v>184</v>
      </c>
      <c r="C24" s="73" t="s">
        <v>4</v>
      </c>
      <c r="D24" s="74"/>
      <c r="E24" s="74"/>
      <c r="F24" s="74"/>
      <c r="G24" s="74"/>
      <c r="H24" s="74"/>
      <c r="I24" s="72" t="s">
        <v>96</v>
      </c>
    </row>
    <row r="25" spans="1:9" x14ac:dyDescent="0.35">
      <c r="A25" s="18"/>
      <c r="B25" s="53" t="s">
        <v>185</v>
      </c>
      <c r="C25" s="68">
        <f>(H13/C13)^(1/5)-1</f>
        <v>5.0000000000000044E-2</v>
      </c>
      <c r="D25" s="18"/>
      <c r="E25" s="18"/>
      <c r="F25" s="18"/>
      <c r="G25" s="18"/>
      <c r="H25" s="18"/>
      <c r="I25" s="52" t="s">
        <v>186</v>
      </c>
    </row>
    <row r="26" spans="1:9" x14ac:dyDescent="0.35">
      <c r="A26" s="18"/>
      <c r="B26" s="53" t="s">
        <v>187</v>
      </c>
      <c r="C26" s="68">
        <f>(H15/C15)^(1/5)-1</f>
        <v>6.506377876670344E-2</v>
      </c>
      <c r="D26" s="18"/>
      <c r="E26" s="18"/>
      <c r="F26" s="18"/>
      <c r="G26" s="18"/>
      <c r="H26" s="18"/>
      <c r="I26" s="52" t="s">
        <v>188</v>
      </c>
    </row>
    <row r="27" spans="1:9" x14ac:dyDescent="0.35">
      <c r="A27" s="18"/>
      <c r="B27" s="53" t="s">
        <v>189</v>
      </c>
      <c r="C27" s="61">
        <f>SUM(D22:H22)</f>
        <v>2535.9829989919126</v>
      </c>
      <c r="D27" s="18"/>
      <c r="E27" s="18"/>
      <c r="F27" s="18"/>
      <c r="G27" s="18"/>
      <c r="H27" s="18"/>
      <c r="I27" s="52" t="s">
        <v>190</v>
      </c>
    </row>
    <row r="28" spans="1:9" x14ac:dyDescent="0.35">
      <c r="A28" s="18"/>
      <c r="B28" s="69" t="s">
        <v>191</v>
      </c>
      <c r="C28" s="66">
        <f>H15</f>
        <v>612.4750908613313</v>
      </c>
      <c r="D28" s="56"/>
      <c r="E28" s="56"/>
      <c r="F28" s="56"/>
      <c r="G28" s="56"/>
      <c r="H28" s="56"/>
      <c r="I28" s="57" t="s">
        <v>192</v>
      </c>
    </row>
    <row r="29" spans="1:9" x14ac:dyDescent="0.35">
      <c r="A29" s="18"/>
      <c r="B29" s="18"/>
      <c r="C29" s="18"/>
      <c r="D29" s="18"/>
      <c r="E29" s="18"/>
      <c r="F29" s="18"/>
      <c r="G29" s="18"/>
      <c r="H29" s="18"/>
      <c r="I29" s="18"/>
    </row>
    <row r="30" spans="1:9" x14ac:dyDescent="0.35">
      <c r="A30" s="18"/>
      <c r="B30" s="146" t="s">
        <v>193</v>
      </c>
      <c r="C30" s="146"/>
      <c r="D30" s="146"/>
      <c r="E30" s="146"/>
      <c r="F30" s="146"/>
      <c r="G30" s="146"/>
      <c r="H30" s="146"/>
      <c r="I30" s="146"/>
    </row>
    <row r="31" spans="1:9" x14ac:dyDescent="0.35">
      <c r="A31" s="18"/>
      <c r="B31" s="18"/>
      <c r="C31" s="18"/>
      <c r="D31" s="18"/>
      <c r="E31" s="18"/>
      <c r="F31" s="18"/>
      <c r="G31" s="18"/>
      <c r="H31" s="18"/>
      <c r="I31" s="18"/>
    </row>
    <row r="32" spans="1:9" x14ac:dyDescent="0.35">
      <c r="A32" s="18"/>
      <c r="B32" s="18"/>
      <c r="C32" s="18"/>
      <c r="D32" s="18"/>
      <c r="E32" s="18"/>
      <c r="F32" s="18"/>
      <c r="G32" s="18"/>
      <c r="H32" s="18"/>
      <c r="I32" s="18"/>
    </row>
    <row r="33" spans="1:9" x14ac:dyDescent="0.35">
      <c r="A33" s="18"/>
      <c r="B33" s="18"/>
      <c r="C33" s="18"/>
      <c r="D33" s="18"/>
      <c r="E33" s="18"/>
      <c r="F33" s="18"/>
      <c r="G33" s="18"/>
      <c r="H33" s="18"/>
      <c r="I33" s="18"/>
    </row>
    <row r="34" spans="1:9" x14ac:dyDescent="0.35">
      <c r="A34" s="18"/>
      <c r="B34" s="18"/>
      <c r="C34" s="18"/>
      <c r="D34" s="18"/>
      <c r="E34" s="18"/>
      <c r="F34" s="18"/>
      <c r="G34" s="18"/>
      <c r="H34" s="18"/>
      <c r="I34" s="18"/>
    </row>
    <row r="35" spans="1:9" x14ac:dyDescent="0.35">
      <c r="A35" s="18"/>
      <c r="B35" s="18"/>
      <c r="C35" s="18"/>
      <c r="D35" s="18"/>
      <c r="E35" s="18"/>
      <c r="F35" s="18"/>
      <c r="G35" s="18"/>
      <c r="H35" s="18"/>
      <c r="I35" s="18"/>
    </row>
    <row r="36" spans="1:9" x14ac:dyDescent="0.35">
      <c r="A36" s="18"/>
      <c r="B36" s="18"/>
      <c r="C36" s="18"/>
      <c r="D36" s="18"/>
      <c r="E36" s="18"/>
      <c r="F36" s="18"/>
      <c r="G36" s="18"/>
      <c r="H36" s="18"/>
      <c r="I36" s="18"/>
    </row>
    <row r="37" spans="1:9" x14ac:dyDescent="0.35">
      <c r="A37" s="18"/>
      <c r="B37" s="18"/>
      <c r="C37" s="18"/>
      <c r="D37" s="18"/>
      <c r="E37" s="18"/>
      <c r="F37" s="18"/>
      <c r="G37" s="18"/>
      <c r="H37" s="18"/>
      <c r="I37" s="18"/>
    </row>
    <row r="38" spans="1:9" x14ac:dyDescent="0.3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35">
      <c r="A39" s="18"/>
      <c r="B39" s="18"/>
      <c r="C39" s="18"/>
      <c r="D39" s="18"/>
      <c r="E39" s="18"/>
      <c r="F39" s="18"/>
      <c r="G39" s="18"/>
      <c r="H39" s="18"/>
      <c r="I39" s="18"/>
    </row>
    <row r="40" spans="1:9" x14ac:dyDescent="0.35">
      <c r="A40" s="18"/>
      <c r="B40" s="18"/>
      <c r="C40" s="18"/>
      <c r="D40" s="18"/>
      <c r="E40" s="18"/>
      <c r="F40" s="18"/>
      <c r="G40" s="18"/>
      <c r="H40" s="18"/>
      <c r="I40" s="18"/>
    </row>
  </sheetData>
  <mergeCells count="4">
    <mergeCell ref="B1:I1"/>
    <mergeCell ref="B2:I2"/>
    <mergeCell ref="B3:I3"/>
    <mergeCell ref="B30:I30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18AC-59B3-4BB1-AE79-E6C52B36A77B}">
  <dimension ref="A1:H70"/>
  <sheetViews>
    <sheetView showGridLines="0" workbookViewId="0">
      <pane xSplit="2" ySplit="5" topLeftCell="C41" activePane="bottomRight" state="frozen"/>
      <selection pane="topRight" activeCell="C1" sqref="C1"/>
      <selection pane="bottomLeft" activeCell="A6" sqref="A6"/>
      <selection pane="bottomRight"/>
    </sheetView>
  </sheetViews>
  <sheetFormatPr defaultRowHeight="14.5" x14ac:dyDescent="0.35"/>
  <cols>
    <col min="1" max="1" width="3.26953125" customWidth="1"/>
    <col min="2" max="2" width="54.54296875" customWidth="1"/>
    <col min="3" max="7" width="14.90625" customWidth="1"/>
    <col min="8" max="8" width="60" customWidth="1"/>
  </cols>
  <sheetData>
    <row r="1" spans="1:8" ht="16.5" x14ac:dyDescent="0.35">
      <c r="A1" s="78"/>
      <c r="B1" s="81" t="s">
        <v>59</v>
      </c>
      <c r="C1" s="81"/>
      <c r="D1" s="81"/>
      <c r="E1" s="81"/>
      <c r="F1" s="81"/>
      <c r="G1" s="81"/>
      <c r="H1" s="81"/>
    </row>
    <row r="2" spans="1:8" x14ac:dyDescent="0.35">
      <c r="A2" s="78"/>
      <c r="B2" s="82" t="s">
        <v>194</v>
      </c>
      <c r="C2" s="82"/>
      <c r="D2" s="82"/>
      <c r="E2" s="82"/>
      <c r="F2" s="82"/>
      <c r="G2" s="82"/>
      <c r="H2" s="82"/>
    </row>
    <row r="3" spans="1:8" x14ac:dyDescent="0.35">
      <c r="A3" s="78"/>
      <c r="B3" s="83" t="s">
        <v>195</v>
      </c>
      <c r="C3" s="83"/>
      <c r="D3" s="83"/>
      <c r="E3" s="83"/>
      <c r="F3" s="83"/>
      <c r="G3" s="83"/>
      <c r="H3" s="83"/>
    </row>
    <row r="4" spans="1:8" x14ac:dyDescent="0.35">
      <c r="A4" s="78"/>
      <c r="B4" s="78"/>
      <c r="C4" s="78"/>
      <c r="D4" s="78"/>
      <c r="E4" s="78"/>
      <c r="F4" s="78"/>
      <c r="G4" s="78"/>
      <c r="H4" s="78"/>
    </row>
    <row r="5" spans="1:8" x14ac:dyDescent="0.35">
      <c r="A5" s="78"/>
      <c r="B5" s="96" t="s">
        <v>196</v>
      </c>
      <c r="C5" s="97" t="s">
        <v>4</v>
      </c>
      <c r="D5" s="96"/>
      <c r="E5" s="96"/>
      <c r="F5" s="96"/>
      <c r="G5" s="96"/>
      <c r="H5" s="98" t="s">
        <v>96</v>
      </c>
    </row>
    <row r="6" spans="1:8" x14ac:dyDescent="0.35">
      <c r="A6" s="78"/>
      <c r="B6" s="99" t="s">
        <v>197</v>
      </c>
      <c r="C6" s="100">
        <v>0.04</v>
      </c>
      <c r="D6" s="101"/>
      <c r="E6" s="101"/>
      <c r="F6" s="101"/>
      <c r="G6" s="101"/>
      <c r="H6" s="102" t="s">
        <v>198</v>
      </c>
    </row>
    <row r="7" spans="1:8" x14ac:dyDescent="0.35">
      <c r="A7" s="78"/>
      <c r="B7" s="53" t="s">
        <v>199</v>
      </c>
      <c r="C7" s="54">
        <v>4.4999999999999998E-2</v>
      </c>
      <c r="D7" s="78"/>
      <c r="E7" s="78"/>
      <c r="F7" s="78"/>
      <c r="G7" s="78"/>
      <c r="H7" s="52" t="s">
        <v>200</v>
      </c>
    </row>
    <row r="8" spans="1:8" x14ac:dyDescent="0.35">
      <c r="A8" s="78"/>
      <c r="B8" s="62" t="s">
        <v>201</v>
      </c>
      <c r="C8" s="84">
        <f>C6+C7</f>
        <v>8.4999999999999992E-2</v>
      </c>
      <c r="D8" s="78"/>
      <c r="E8" s="78"/>
      <c r="F8" s="78"/>
      <c r="G8" s="78"/>
      <c r="H8" s="52" t="s">
        <v>202</v>
      </c>
    </row>
    <row r="9" spans="1:8" x14ac:dyDescent="0.35">
      <c r="A9" s="78"/>
      <c r="B9" s="53" t="s">
        <v>203</v>
      </c>
      <c r="C9" s="86">
        <v>600</v>
      </c>
      <c r="D9" s="78"/>
      <c r="E9" s="78"/>
      <c r="F9" s="78"/>
      <c r="G9" s="78"/>
      <c r="H9" s="52" t="s">
        <v>204</v>
      </c>
    </row>
    <row r="10" spans="1:8" x14ac:dyDescent="0.35">
      <c r="A10" s="78"/>
      <c r="B10" s="53" t="s">
        <v>205</v>
      </c>
      <c r="C10" s="54">
        <v>5.0000000000000001E-3</v>
      </c>
      <c r="D10" s="78"/>
      <c r="E10" s="78"/>
      <c r="F10" s="78"/>
      <c r="G10" s="78"/>
      <c r="H10" s="52" t="s">
        <v>206</v>
      </c>
    </row>
    <row r="11" spans="1:8" x14ac:dyDescent="0.35">
      <c r="A11" s="78"/>
      <c r="B11" s="53" t="s">
        <v>207</v>
      </c>
      <c r="C11" s="54">
        <v>0.04</v>
      </c>
      <c r="D11" s="78"/>
      <c r="E11" s="78"/>
      <c r="F11" s="78"/>
      <c r="G11" s="78"/>
      <c r="H11" s="52" t="s">
        <v>208</v>
      </c>
    </row>
    <row r="12" spans="1:8" x14ac:dyDescent="0.35">
      <c r="A12" s="78"/>
      <c r="B12" s="53" t="s">
        <v>209</v>
      </c>
      <c r="C12" s="54">
        <v>0.01</v>
      </c>
      <c r="D12" s="78"/>
      <c r="E12" s="78"/>
      <c r="F12" s="78"/>
      <c r="G12" s="78"/>
      <c r="H12" s="52" t="s">
        <v>210</v>
      </c>
    </row>
    <row r="13" spans="1:8" x14ac:dyDescent="0.35">
      <c r="A13" s="78"/>
      <c r="B13" s="53" t="s">
        <v>211</v>
      </c>
      <c r="C13" s="54">
        <v>1</v>
      </c>
      <c r="D13" s="78"/>
      <c r="E13" s="78"/>
      <c r="F13" s="78"/>
      <c r="G13" s="78"/>
      <c r="H13" s="52" t="s">
        <v>212</v>
      </c>
    </row>
    <row r="14" spans="1:8" x14ac:dyDescent="0.35">
      <c r="A14" s="78"/>
      <c r="B14" s="53" t="s">
        <v>213</v>
      </c>
      <c r="C14" s="87">
        <f>'Transaction Data'!C26</f>
        <v>0.28499999999999998</v>
      </c>
      <c r="D14" s="78"/>
      <c r="E14" s="78"/>
      <c r="F14" s="78"/>
      <c r="G14" s="78"/>
      <c r="H14" s="52" t="s">
        <v>214</v>
      </c>
    </row>
    <row r="15" spans="1:8" x14ac:dyDescent="0.35">
      <c r="A15" s="78"/>
      <c r="B15" s="53" t="s">
        <v>215</v>
      </c>
      <c r="C15" s="88">
        <f>'Transaction Data'!C31</f>
        <v>18.29</v>
      </c>
      <c r="D15" s="78"/>
      <c r="E15" s="78"/>
      <c r="F15" s="78"/>
      <c r="G15" s="78"/>
      <c r="H15" s="52" t="s">
        <v>216</v>
      </c>
    </row>
    <row r="16" spans="1:8" x14ac:dyDescent="0.35">
      <c r="A16" s="78"/>
      <c r="B16" s="53" t="s">
        <v>217</v>
      </c>
      <c r="C16" s="88">
        <f>'2 · Sources &amp; Uses'!C20</f>
        <v>2457.9499999999998</v>
      </c>
      <c r="D16" s="78"/>
      <c r="E16" s="78"/>
      <c r="F16" s="78"/>
      <c r="G16" s="78"/>
      <c r="H16" s="52" t="s">
        <v>218</v>
      </c>
    </row>
    <row r="17" spans="1:8" x14ac:dyDescent="0.35">
      <c r="A17" s="78"/>
      <c r="B17" s="78"/>
      <c r="C17" s="78"/>
      <c r="D17" s="78"/>
      <c r="E17" s="78"/>
      <c r="F17" s="78"/>
      <c r="G17" s="78"/>
      <c r="H17" s="78"/>
    </row>
    <row r="18" spans="1:8" x14ac:dyDescent="0.35">
      <c r="A18" s="78"/>
      <c r="B18" s="96" t="s">
        <v>219</v>
      </c>
      <c r="C18" s="97" t="s">
        <v>148</v>
      </c>
      <c r="D18" s="97" t="s">
        <v>149</v>
      </c>
      <c r="E18" s="97" t="s">
        <v>150</v>
      </c>
      <c r="F18" s="97" t="s">
        <v>151</v>
      </c>
      <c r="G18" s="97" t="s">
        <v>152</v>
      </c>
      <c r="H18" s="98" t="s">
        <v>96</v>
      </c>
    </row>
    <row r="19" spans="1:8" x14ac:dyDescent="0.35">
      <c r="A19" s="78"/>
      <c r="B19" s="101" t="s">
        <v>220</v>
      </c>
      <c r="C19" s="103">
        <f>'3 · Operating Model'!D18</f>
        <v>367.77796649999999</v>
      </c>
      <c r="D19" s="103">
        <f>'3 · Operating Model'!E18</f>
        <v>395.28891675</v>
      </c>
      <c r="E19" s="103">
        <f>'3 · Operating Model'!F18</f>
        <v>424.63151710875007</v>
      </c>
      <c r="F19" s="103">
        <f>'3 · Operating Model'!G18</f>
        <v>455.92015521150006</v>
      </c>
      <c r="G19" s="103">
        <f>'3 · Operating Model'!H18</f>
        <v>489.27607833175318</v>
      </c>
      <c r="H19" s="102" t="s">
        <v>221</v>
      </c>
    </row>
    <row r="20" spans="1:8" x14ac:dyDescent="0.35">
      <c r="A20" s="78"/>
      <c r="B20" s="78" t="s">
        <v>222</v>
      </c>
      <c r="C20" s="85">
        <f>$C$8*C38</f>
        <v>208.92574999999997</v>
      </c>
      <c r="D20" s="85">
        <f t="shared" ref="D20:G20" si="0">$C$8*D38</f>
        <v>193.25318052471249</v>
      </c>
      <c r="E20" s="85">
        <f t="shared" si="0"/>
        <v>174.64610008724566</v>
      </c>
      <c r="F20" s="85">
        <f t="shared" si="0"/>
        <v>152.79934362096998</v>
      </c>
      <c r="G20" s="85">
        <f t="shared" si="0"/>
        <v>127.38147266242207</v>
      </c>
      <c r="H20" s="64" t="s">
        <v>223</v>
      </c>
    </row>
    <row r="21" spans="1:8" x14ac:dyDescent="0.35">
      <c r="A21" s="78"/>
      <c r="B21" s="78" t="s">
        <v>224</v>
      </c>
      <c r="C21" s="85">
        <f>$C$10*($C$9-C44)</f>
        <v>3</v>
      </c>
      <c r="D21" s="85">
        <f t="shared" ref="D21:G21" si="1">$C$10*($C$9-D44)</f>
        <v>3</v>
      </c>
      <c r="E21" s="85">
        <f t="shared" si="1"/>
        <v>3</v>
      </c>
      <c r="F21" s="85">
        <f t="shared" si="1"/>
        <v>3</v>
      </c>
      <c r="G21" s="85">
        <f t="shared" si="1"/>
        <v>3</v>
      </c>
      <c r="H21" s="64" t="s">
        <v>225</v>
      </c>
    </row>
    <row r="22" spans="1:8" x14ac:dyDescent="0.35">
      <c r="A22" s="78"/>
      <c r="B22" s="78" t="s">
        <v>226</v>
      </c>
      <c r="C22" s="85">
        <f>($C$6+$C$11)*C44</f>
        <v>0</v>
      </c>
      <c r="D22" s="85">
        <f t="shared" ref="D22:G22" si="2">($C$6+$C$11)*D44</f>
        <v>0</v>
      </c>
      <c r="E22" s="85">
        <f t="shared" si="2"/>
        <v>0</v>
      </c>
      <c r="F22" s="85">
        <f t="shared" si="2"/>
        <v>0</v>
      </c>
      <c r="G22" s="85">
        <f t="shared" si="2"/>
        <v>0</v>
      </c>
      <c r="H22" s="64" t="s">
        <v>227</v>
      </c>
    </row>
    <row r="23" spans="1:8" x14ac:dyDescent="0.35">
      <c r="A23" s="78"/>
      <c r="B23" s="79" t="s">
        <v>228</v>
      </c>
      <c r="C23" s="89">
        <f>SUM(C20:C22)</f>
        <v>211.92574999999997</v>
      </c>
      <c r="D23" s="89">
        <f t="shared" ref="D23:G23" si="3">SUM(D20:D22)</f>
        <v>196.25318052471249</v>
      </c>
      <c r="E23" s="89">
        <f t="shared" si="3"/>
        <v>177.64610008724566</v>
      </c>
      <c r="F23" s="89">
        <f t="shared" si="3"/>
        <v>155.79934362096998</v>
      </c>
      <c r="G23" s="89">
        <f t="shared" si="3"/>
        <v>130.38147266242208</v>
      </c>
      <c r="H23" s="52" t="s">
        <v>229</v>
      </c>
    </row>
    <row r="24" spans="1:8" x14ac:dyDescent="0.35">
      <c r="A24" s="78"/>
      <c r="B24" s="79" t="s">
        <v>230</v>
      </c>
      <c r="C24" s="89">
        <f>C19-C23</f>
        <v>155.85221650000003</v>
      </c>
      <c r="D24" s="89">
        <f t="shared" ref="D24:G24" si="4">D19-D23</f>
        <v>199.03573622528751</v>
      </c>
      <c r="E24" s="89">
        <f t="shared" si="4"/>
        <v>246.98541702150442</v>
      </c>
      <c r="F24" s="89">
        <f t="shared" si="4"/>
        <v>300.12081159053008</v>
      </c>
      <c r="G24" s="89">
        <f t="shared" si="4"/>
        <v>358.8946056693311</v>
      </c>
      <c r="H24" s="64" t="s">
        <v>231</v>
      </c>
    </row>
    <row r="25" spans="1:8" x14ac:dyDescent="0.35">
      <c r="A25" s="78"/>
      <c r="B25" s="78" t="s">
        <v>232</v>
      </c>
      <c r="C25" s="85">
        <f>$C$14*MAX(C24,0)</f>
        <v>44.417881702500004</v>
      </c>
      <c r="D25" s="85">
        <f t="shared" ref="D25:G25" si="5">$C$14*MAX(D24,0)</f>
        <v>56.725184824206934</v>
      </c>
      <c r="E25" s="85">
        <f t="shared" si="5"/>
        <v>70.39084385112875</v>
      </c>
      <c r="F25" s="85">
        <f t="shared" si="5"/>
        <v>85.534431303301062</v>
      </c>
      <c r="G25" s="85">
        <f t="shared" si="5"/>
        <v>102.28496261575935</v>
      </c>
      <c r="H25" s="64" t="s">
        <v>233</v>
      </c>
    </row>
    <row r="26" spans="1:8" x14ac:dyDescent="0.35">
      <c r="A26" s="78"/>
      <c r="B26" s="79" t="s">
        <v>234</v>
      </c>
      <c r="C26" s="89">
        <f>C24-C25</f>
        <v>111.43433479750001</v>
      </c>
      <c r="D26" s="89">
        <f t="shared" ref="D26:G26" si="6">D24-D25</f>
        <v>142.31055140108057</v>
      </c>
      <c r="E26" s="89">
        <f t="shared" si="6"/>
        <v>176.59457317037567</v>
      </c>
      <c r="F26" s="89">
        <f t="shared" si="6"/>
        <v>214.58638028722902</v>
      </c>
      <c r="G26" s="89">
        <f t="shared" si="6"/>
        <v>256.60964305357174</v>
      </c>
      <c r="H26" s="64" t="s">
        <v>235</v>
      </c>
    </row>
    <row r="27" spans="1:8" x14ac:dyDescent="0.35">
      <c r="A27" s="78"/>
      <c r="B27" s="78" t="s">
        <v>236</v>
      </c>
      <c r="C27" s="88">
        <f>'3 · Operating Model'!D17</f>
        <v>101.3561325</v>
      </c>
      <c r="D27" s="88">
        <f>'3 · Operating Model'!E17</f>
        <v>106.423939125</v>
      </c>
      <c r="E27" s="88">
        <f>'3 · Operating Model'!F17</f>
        <v>111.74513608125001</v>
      </c>
      <c r="F27" s="88">
        <f>'3 · Operating Model'!G17</f>
        <v>117.33239288531252</v>
      </c>
      <c r="G27" s="88">
        <f>'3 · Operating Model'!H17</f>
        <v>123.19901252957814</v>
      </c>
      <c r="H27" s="52" t="s">
        <v>237</v>
      </c>
    </row>
    <row r="28" spans="1:8" x14ac:dyDescent="0.35">
      <c r="A28" s="78"/>
      <c r="B28" s="78" t="s">
        <v>178</v>
      </c>
      <c r="C28" s="88">
        <f>'3 · Operating Model'!D20</f>
        <v>17.375336999999998</v>
      </c>
      <c r="D28" s="88">
        <f>'3 · Operating Model'!E20</f>
        <v>18.244103849999998</v>
      </c>
      <c r="E28" s="88">
        <f>'3 · Operating Model'!F20</f>
        <v>19.156309042500002</v>
      </c>
      <c r="F28" s="88">
        <f>'3 · Operating Model'!G20</f>
        <v>20.114124494624999</v>
      </c>
      <c r="G28" s="88">
        <f>'3 · Operating Model'!H20</f>
        <v>21.119830719356251</v>
      </c>
      <c r="H28" s="52" t="s">
        <v>238</v>
      </c>
    </row>
    <row r="29" spans="1:8" x14ac:dyDescent="0.35">
      <c r="A29" s="78"/>
      <c r="B29" s="78" t="s">
        <v>180</v>
      </c>
      <c r="C29" s="88">
        <f>'3 · Operating Model'!D21</f>
        <v>11.03196</v>
      </c>
      <c r="D29" s="88">
        <f>'3 · Operating Model'!E21</f>
        <v>11.583558000000012</v>
      </c>
      <c r="E29" s="88">
        <f>'3 · Operating Model'!F21</f>
        <v>12.162735900000007</v>
      </c>
      <c r="F29" s="88">
        <f>'3 · Operating Model'!G21</f>
        <v>12.770872694999998</v>
      </c>
      <c r="G29" s="88">
        <f>'3 · Operating Model'!H21</f>
        <v>13.40941632975002</v>
      </c>
      <c r="H29" s="52" t="s">
        <v>239</v>
      </c>
    </row>
    <row r="30" spans="1:8" x14ac:dyDescent="0.35">
      <c r="A30" s="78"/>
      <c r="B30" s="94" t="s">
        <v>240</v>
      </c>
      <c r="C30" s="95">
        <f>C26+C27-C28-C29</f>
        <v>184.38317029750002</v>
      </c>
      <c r="D30" s="95">
        <f t="shared" ref="D30:G30" si="7">D26+D27-D28-D29</f>
        <v>218.90682867608058</v>
      </c>
      <c r="E30" s="95">
        <f t="shared" si="7"/>
        <v>257.02066430912561</v>
      </c>
      <c r="F30" s="95">
        <f t="shared" si="7"/>
        <v>299.03377598291655</v>
      </c>
      <c r="G30" s="95">
        <f t="shared" si="7"/>
        <v>345.27940853404363</v>
      </c>
      <c r="H30" s="67" t="s">
        <v>241</v>
      </c>
    </row>
    <row r="31" spans="1:8" x14ac:dyDescent="0.35">
      <c r="A31" s="78"/>
      <c r="B31" s="78" t="s">
        <v>242</v>
      </c>
      <c r="C31" s="85">
        <f>MIN($C$12*$C$16,C38)</f>
        <v>24.579499999999999</v>
      </c>
      <c r="D31" s="85">
        <f t="shared" ref="D31:G31" si="8">MIN($C$12*$C$16,D38)</f>
        <v>24.579499999999999</v>
      </c>
      <c r="E31" s="85">
        <f t="shared" si="8"/>
        <v>24.579499999999999</v>
      </c>
      <c r="F31" s="85">
        <f t="shared" si="8"/>
        <v>24.579499999999999</v>
      </c>
      <c r="G31" s="85">
        <f t="shared" si="8"/>
        <v>24.579499999999999</v>
      </c>
      <c r="H31" s="64" t="s">
        <v>243</v>
      </c>
    </row>
    <row r="32" spans="1:8" x14ac:dyDescent="0.35">
      <c r="A32" s="78"/>
      <c r="B32" s="79" t="s">
        <v>244</v>
      </c>
      <c r="C32" s="89">
        <f>C30-C31</f>
        <v>159.80367029750002</v>
      </c>
      <c r="D32" s="89">
        <f t="shared" ref="D32:G32" si="9">D30-D31</f>
        <v>194.32732867608058</v>
      </c>
      <c r="E32" s="89">
        <f t="shared" si="9"/>
        <v>232.44116430912561</v>
      </c>
      <c r="F32" s="89">
        <f t="shared" si="9"/>
        <v>274.45427598291656</v>
      </c>
      <c r="G32" s="89">
        <f t="shared" si="9"/>
        <v>320.69990853404363</v>
      </c>
      <c r="H32" s="64" t="s">
        <v>245</v>
      </c>
    </row>
    <row r="33" spans="1:8" x14ac:dyDescent="0.35">
      <c r="A33" s="78"/>
      <c r="B33" s="78" t="s">
        <v>246</v>
      </c>
      <c r="C33" s="85">
        <f>MIN($C$13*MAX(C32,0),C38-C31)</f>
        <v>159.80367029750002</v>
      </c>
      <c r="D33" s="85">
        <f t="shared" ref="D33:G33" si="10">MIN($C$13*MAX(D32,0),D38-D31)</f>
        <v>194.32732867608058</v>
      </c>
      <c r="E33" s="85">
        <f t="shared" si="10"/>
        <v>232.44116430912561</v>
      </c>
      <c r="F33" s="85">
        <f t="shared" si="10"/>
        <v>274.45427598291656</v>
      </c>
      <c r="G33" s="85">
        <f t="shared" si="10"/>
        <v>320.69990853404363</v>
      </c>
      <c r="H33" s="64" t="s">
        <v>247</v>
      </c>
    </row>
    <row r="34" spans="1:8" x14ac:dyDescent="0.35">
      <c r="A34" s="78"/>
      <c r="B34" s="94" t="s">
        <v>248</v>
      </c>
      <c r="C34" s="95">
        <f>C32-C33</f>
        <v>0</v>
      </c>
      <c r="D34" s="95">
        <f t="shared" ref="D34:G34" si="11">D32-D33</f>
        <v>0</v>
      </c>
      <c r="E34" s="95">
        <f t="shared" si="11"/>
        <v>0</v>
      </c>
      <c r="F34" s="95">
        <f t="shared" si="11"/>
        <v>0</v>
      </c>
      <c r="G34" s="95">
        <f t="shared" si="11"/>
        <v>0</v>
      </c>
      <c r="H34" s="67" t="s">
        <v>249</v>
      </c>
    </row>
    <row r="35" spans="1:8" x14ac:dyDescent="0.35">
      <c r="A35" s="78"/>
      <c r="B35" s="90" t="s">
        <v>250</v>
      </c>
      <c r="C35" s="91">
        <f>'3 · Operating Model'!D22-C23-C25-C30</f>
        <v>0</v>
      </c>
      <c r="D35" s="91">
        <f>'3 · Operating Model'!E22-D23-D25-D30</f>
        <v>0</v>
      </c>
      <c r="E35" s="91">
        <f>'3 · Operating Model'!F22-E23-E25-E30</f>
        <v>0</v>
      </c>
      <c r="F35" s="91">
        <f>'3 · Operating Model'!G22-F23-F25-F30</f>
        <v>0</v>
      </c>
      <c r="G35" s="91">
        <f>'3 · Operating Model'!H22-G23-G25-G30</f>
        <v>0</v>
      </c>
      <c r="H35" s="52" t="s">
        <v>251</v>
      </c>
    </row>
    <row r="36" spans="1:8" x14ac:dyDescent="0.35">
      <c r="A36" s="78"/>
      <c r="B36" s="78"/>
      <c r="C36" s="78"/>
      <c r="D36" s="78"/>
      <c r="E36" s="78"/>
      <c r="F36" s="78"/>
      <c r="G36" s="78"/>
      <c r="H36" s="78"/>
    </row>
    <row r="37" spans="1:8" x14ac:dyDescent="0.35">
      <c r="A37" s="78"/>
      <c r="B37" s="96" t="s">
        <v>252</v>
      </c>
      <c r="C37" s="97" t="s">
        <v>148</v>
      </c>
      <c r="D37" s="97" t="s">
        <v>149</v>
      </c>
      <c r="E37" s="97" t="s">
        <v>150</v>
      </c>
      <c r="F37" s="97" t="s">
        <v>151</v>
      </c>
      <c r="G37" s="97" t="s">
        <v>152</v>
      </c>
      <c r="H37" s="98" t="s">
        <v>96</v>
      </c>
    </row>
    <row r="38" spans="1:8" x14ac:dyDescent="0.35">
      <c r="A38" s="78"/>
      <c r="B38" s="101" t="s">
        <v>253</v>
      </c>
      <c r="C38" s="103">
        <f>$C$16</f>
        <v>2457.9499999999998</v>
      </c>
      <c r="D38" s="104">
        <f>C41</f>
        <v>2273.5668297024999</v>
      </c>
      <c r="E38" s="104">
        <f>D41</f>
        <v>2054.6600010264196</v>
      </c>
      <c r="F38" s="104">
        <f>E41</f>
        <v>1797.6393367172941</v>
      </c>
      <c r="G38" s="104">
        <f>F41</f>
        <v>1498.6055607343774</v>
      </c>
      <c r="H38" s="102" t="s">
        <v>254</v>
      </c>
    </row>
    <row r="39" spans="1:8" x14ac:dyDescent="0.35">
      <c r="A39" s="78"/>
      <c r="B39" s="78" t="s">
        <v>255</v>
      </c>
      <c r="C39" s="85">
        <f>C31</f>
        <v>24.579499999999999</v>
      </c>
      <c r="D39" s="85">
        <f t="shared" ref="D39:G39" si="12">D31</f>
        <v>24.579499999999999</v>
      </c>
      <c r="E39" s="85">
        <f t="shared" si="12"/>
        <v>24.579499999999999</v>
      </c>
      <c r="F39" s="85">
        <f t="shared" si="12"/>
        <v>24.579499999999999</v>
      </c>
      <c r="G39" s="85">
        <f t="shared" si="12"/>
        <v>24.579499999999999</v>
      </c>
      <c r="H39" s="64" t="s">
        <v>256</v>
      </c>
    </row>
    <row r="40" spans="1:8" x14ac:dyDescent="0.35">
      <c r="A40" s="78"/>
      <c r="B40" s="78" t="s">
        <v>257</v>
      </c>
      <c r="C40" s="85">
        <f>C33</f>
        <v>159.80367029750002</v>
      </c>
      <c r="D40" s="85">
        <f t="shared" ref="D40:G40" si="13">D33</f>
        <v>194.32732867608058</v>
      </c>
      <c r="E40" s="85">
        <f t="shared" si="13"/>
        <v>232.44116430912561</v>
      </c>
      <c r="F40" s="85">
        <f t="shared" si="13"/>
        <v>274.45427598291656</v>
      </c>
      <c r="G40" s="85">
        <f t="shared" si="13"/>
        <v>320.69990853404363</v>
      </c>
      <c r="H40" s="64" t="s">
        <v>258</v>
      </c>
    </row>
    <row r="41" spans="1:8" x14ac:dyDescent="0.35">
      <c r="A41" s="78"/>
      <c r="B41" s="94" t="s">
        <v>259</v>
      </c>
      <c r="C41" s="95">
        <f>C38-C39-C40</f>
        <v>2273.5668297024999</v>
      </c>
      <c r="D41" s="95">
        <f t="shared" ref="D41:G41" si="14">D38-D39-D40</f>
        <v>2054.6600010264196</v>
      </c>
      <c r="E41" s="95">
        <f t="shared" si="14"/>
        <v>1797.6393367172941</v>
      </c>
      <c r="F41" s="95">
        <f t="shared" si="14"/>
        <v>1498.6055607343774</v>
      </c>
      <c r="G41" s="95">
        <f t="shared" si="14"/>
        <v>1153.3261522003336</v>
      </c>
      <c r="H41" s="67" t="s">
        <v>260</v>
      </c>
    </row>
    <row r="42" spans="1:8" x14ac:dyDescent="0.35">
      <c r="A42" s="78"/>
      <c r="B42" s="78"/>
      <c r="C42" s="78"/>
      <c r="D42" s="78"/>
      <c r="E42" s="78"/>
      <c r="F42" s="78"/>
      <c r="G42" s="78"/>
      <c r="H42" s="78"/>
    </row>
    <row r="43" spans="1:8" x14ac:dyDescent="0.35">
      <c r="A43" s="78"/>
      <c r="B43" s="96" t="s">
        <v>261</v>
      </c>
      <c r="C43" s="97" t="s">
        <v>148</v>
      </c>
      <c r="D43" s="97" t="s">
        <v>149</v>
      </c>
      <c r="E43" s="97" t="s">
        <v>150</v>
      </c>
      <c r="F43" s="97" t="s">
        <v>151</v>
      </c>
      <c r="G43" s="97" t="s">
        <v>152</v>
      </c>
      <c r="H43" s="98" t="s">
        <v>96</v>
      </c>
    </row>
    <row r="44" spans="1:8" x14ac:dyDescent="0.35">
      <c r="A44" s="78"/>
      <c r="B44" s="101" t="s">
        <v>262</v>
      </c>
      <c r="C44" s="103">
        <f>'2 · Sources &amp; Uses'!C21</f>
        <v>0</v>
      </c>
      <c r="D44" s="104">
        <f>C47</f>
        <v>0</v>
      </c>
      <c r="E44" s="104">
        <f>D47</f>
        <v>0</v>
      </c>
      <c r="F44" s="104">
        <f>E47</f>
        <v>0</v>
      </c>
      <c r="G44" s="104">
        <f>F47</f>
        <v>0</v>
      </c>
      <c r="H44" s="102" t="s">
        <v>263</v>
      </c>
    </row>
    <row r="45" spans="1:8" x14ac:dyDescent="0.35">
      <c r="A45" s="78"/>
      <c r="B45" s="78" t="s">
        <v>264</v>
      </c>
      <c r="C45" s="85">
        <f>MIN(MAX(-(C50+C34),0),$C$9-C44)</f>
        <v>0</v>
      </c>
      <c r="D45" s="85">
        <f t="shared" ref="D45:G45" si="15">MIN(MAX(-(D50+D34),0),$C$9-D44)</f>
        <v>0</v>
      </c>
      <c r="E45" s="85">
        <f t="shared" si="15"/>
        <v>0</v>
      </c>
      <c r="F45" s="85">
        <f t="shared" si="15"/>
        <v>0</v>
      </c>
      <c r="G45" s="85">
        <f t="shared" si="15"/>
        <v>0</v>
      </c>
      <c r="H45" s="64" t="s">
        <v>265</v>
      </c>
    </row>
    <row r="46" spans="1:8" x14ac:dyDescent="0.35">
      <c r="A46" s="78"/>
      <c r="B46" s="78" t="s">
        <v>266</v>
      </c>
      <c r="C46" s="85">
        <f>MIN(C44,MAX(C50+C34,0))</f>
        <v>0</v>
      </c>
      <c r="D46" s="85">
        <f t="shared" ref="D46:G46" si="16">MIN(D44,MAX(D50+D34,0))</f>
        <v>0</v>
      </c>
      <c r="E46" s="85">
        <f t="shared" si="16"/>
        <v>0</v>
      </c>
      <c r="F46" s="85">
        <f t="shared" si="16"/>
        <v>0</v>
      </c>
      <c r="G46" s="85">
        <f t="shared" si="16"/>
        <v>0</v>
      </c>
      <c r="H46" s="64" t="s">
        <v>267</v>
      </c>
    </row>
    <row r="47" spans="1:8" x14ac:dyDescent="0.35">
      <c r="A47" s="78"/>
      <c r="B47" s="94" t="s">
        <v>268</v>
      </c>
      <c r="C47" s="95">
        <f>C44+C45-C46</f>
        <v>0</v>
      </c>
      <c r="D47" s="95">
        <f t="shared" ref="D47:G47" si="17">D44+D45-D46</f>
        <v>0</v>
      </c>
      <c r="E47" s="95">
        <f t="shared" si="17"/>
        <v>0</v>
      </c>
      <c r="F47" s="95">
        <f t="shared" si="17"/>
        <v>0</v>
      </c>
      <c r="G47" s="95">
        <f t="shared" si="17"/>
        <v>0</v>
      </c>
      <c r="H47" s="67" t="s">
        <v>269</v>
      </c>
    </row>
    <row r="48" spans="1:8" x14ac:dyDescent="0.35">
      <c r="A48" s="78"/>
      <c r="B48" s="78"/>
      <c r="C48" s="78"/>
      <c r="D48" s="78"/>
      <c r="E48" s="78"/>
      <c r="F48" s="78"/>
      <c r="G48" s="78"/>
      <c r="H48" s="78"/>
    </row>
    <row r="49" spans="1:8" x14ac:dyDescent="0.35">
      <c r="A49" s="78"/>
      <c r="B49" s="96" t="s">
        <v>270</v>
      </c>
      <c r="C49" s="97" t="s">
        <v>148</v>
      </c>
      <c r="D49" s="97" t="s">
        <v>149</v>
      </c>
      <c r="E49" s="97" t="s">
        <v>150</v>
      </c>
      <c r="F49" s="97" t="s">
        <v>151</v>
      </c>
      <c r="G49" s="97" t="s">
        <v>152</v>
      </c>
      <c r="H49" s="98" t="s">
        <v>96</v>
      </c>
    </row>
    <row r="50" spans="1:8" x14ac:dyDescent="0.35">
      <c r="A50" s="78"/>
      <c r="B50" s="101" t="s">
        <v>271</v>
      </c>
      <c r="C50" s="103">
        <f>$C$15</f>
        <v>18.29</v>
      </c>
      <c r="D50" s="104">
        <f>C52</f>
        <v>18.29</v>
      </c>
      <c r="E50" s="104">
        <f>D52</f>
        <v>18.29</v>
      </c>
      <c r="F50" s="104">
        <f>E52</f>
        <v>18.29</v>
      </c>
      <c r="G50" s="104">
        <f>F52</f>
        <v>18.29</v>
      </c>
      <c r="H50" s="102" t="s">
        <v>272</v>
      </c>
    </row>
    <row r="51" spans="1:8" x14ac:dyDescent="0.35">
      <c r="A51" s="78"/>
      <c r="B51" s="78" t="s">
        <v>273</v>
      </c>
      <c r="C51" s="85">
        <f>C34+C45-C46</f>
        <v>0</v>
      </c>
      <c r="D51" s="85">
        <f t="shared" ref="D51:G51" si="18">D34+D45-D46</f>
        <v>0</v>
      </c>
      <c r="E51" s="85">
        <f t="shared" si="18"/>
        <v>0</v>
      </c>
      <c r="F51" s="85">
        <f t="shared" si="18"/>
        <v>0</v>
      </c>
      <c r="G51" s="85">
        <f t="shared" si="18"/>
        <v>0</v>
      </c>
      <c r="H51" s="64" t="s">
        <v>274</v>
      </c>
    </row>
    <row r="52" spans="1:8" x14ac:dyDescent="0.35">
      <c r="A52" s="78"/>
      <c r="B52" s="94" t="s">
        <v>275</v>
      </c>
      <c r="C52" s="95">
        <f>C50+C51</f>
        <v>18.29</v>
      </c>
      <c r="D52" s="95">
        <f t="shared" ref="D52:G52" si="19">D50+D51</f>
        <v>18.29</v>
      </c>
      <c r="E52" s="95">
        <f t="shared" si="19"/>
        <v>18.29</v>
      </c>
      <c r="F52" s="95">
        <f t="shared" si="19"/>
        <v>18.29</v>
      </c>
      <c r="G52" s="95">
        <f t="shared" si="19"/>
        <v>18.29</v>
      </c>
      <c r="H52" s="67" t="s">
        <v>276</v>
      </c>
    </row>
    <row r="53" spans="1:8" x14ac:dyDescent="0.35">
      <c r="A53" s="78"/>
      <c r="B53" s="78"/>
      <c r="C53" s="78"/>
      <c r="D53" s="78"/>
      <c r="E53" s="78"/>
      <c r="F53" s="78"/>
      <c r="G53" s="78"/>
      <c r="H53" s="78"/>
    </row>
    <row r="54" spans="1:8" x14ac:dyDescent="0.35">
      <c r="A54" s="78"/>
      <c r="B54" s="96" t="s">
        <v>277</v>
      </c>
      <c r="C54" s="97" t="s">
        <v>148</v>
      </c>
      <c r="D54" s="97" t="s">
        <v>149</v>
      </c>
      <c r="E54" s="97" t="s">
        <v>150</v>
      </c>
      <c r="F54" s="97" t="s">
        <v>151</v>
      </c>
      <c r="G54" s="97" t="s">
        <v>152</v>
      </c>
      <c r="H54" s="98" t="s">
        <v>96</v>
      </c>
    </row>
    <row r="55" spans="1:8" x14ac:dyDescent="0.35">
      <c r="A55" s="78"/>
      <c r="B55" s="101" t="s">
        <v>278</v>
      </c>
      <c r="C55" s="104">
        <f>C41+C47</f>
        <v>2273.5668297024999</v>
      </c>
      <c r="D55" s="104">
        <f t="shared" ref="D55:G55" si="20">D41+D47</f>
        <v>2054.6600010264196</v>
      </c>
      <c r="E55" s="104">
        <f t="shared" si="20"/>
        <v>1797.6393367172941</v>
      </c>
      <c r="F55" s="104">
        <f t="shared" si="20"/>
        <v>1498.6055607343774</v>
      </c>
      <c r="G55" s="104">
        <f t="shared" si="20"/>
        <v>1153.3261522003336</v>
      </c>
      <c r="H55" s="105" t="s">
        <v>279</v>
      </c>
    </row>
    <row r="56" spans="1:8" x14ac:dyDescent="0.35">
      <c r="A56" s="78"/>
      <c r="B56" s="78" t="s">
        <v>280</v>
      </c>
      <c r="C56" s="85">
        <f>C52</f>
        <v>18.29</v>
      </c>
      <c r="D56" s="85">
        <f t="shared" ref="D56:G56" si="21">D52</f>
        <v>18.29</v>
      </c>
      <c r="E56" s="85">
        <f t="shared" si="21"/>
        <v>18.29</v>
      </c>
      <c r="F56" s="85">
        <f t="shared" si="21"/>
        <v>18.29</v>
      </c>
      <c r="G56" s="85">
        <f t="shared" si="21"/>
        <v>18.29</v>
      </c>
      <c r="H56" s="64" t="s">
        <v>281</v>
      </c>
    </row>
    <row r="57" spans="1:8" x14ac:dyDescent="0.35">
      <c r="A57" s="78"/>
      <c r="B57" s="94" t="s">
        <v>282</v>
      </c>
      <c r="C57" s="95">
        <f>C55-C56</f>
        <v>2255.2768297025</v>
      </c>
      <c r="D57" s="95">
        <f t="shared" ref="D57:G57" si="22">D55-D56</f>
        <v>2036.3700010264197</v>
      </c>
      <c r="E57" s="95">
        <f t="shared" si="22"/>
        <v>1779.3493367172941</v>
      </c>
      <c r="F57" s="95">
        <f t="shared" si="22"/>
        <v>1480.3155607343774</v>
      </c>
      <c r="G57" s="95">
        <f t="shared" si="22"/>
        <v>1135.0361522003336</v>
      </c>
      <c r="H57" s="67" t="s">
        <v>283</v>
      </c>
    </row>
    <row r="58" spans="1:8" x14ac:dyDescent="0.35">
      <c r="A58" s="78"/>
      <c r="B58" s="90" t="s">
        <v>284</v>
      </c>
      <c r="C58" s="88">
        <f>'3 · Operating Model'!D15</f>
        <v>469.13409899999999</v>
      </c>
      <c r="D58" s="88">
        <f>'3 · Operating Model'!E15</f>
        <v>501.712855875</v>
      </c>
      <c r="E58" s="88">
        <f>'3 · Operating Model'!F15</f>
        <v>536.37665319000007</v>
      </c>
      <c r="F58" s="88">
        <f>'3 · Operating Model'!G15</f>
        <v>573.25254809681257</v>
      </c>
      <c r="G58" s="88">
        <f>'3 · Operating Model'!H15</f>
        <v>612.4750908613313</v>
      </c>
      <c r="H58" s="52" t="s">
        <v>285</v>
      </c>
    </row>
    <row r="59" spans="1:8" x14ac:dyDescent="0.35">
      <c r="A59" s="78"/>
      <c r="B59" s="80" t="s">
        <v>286</v>
      </c>
      <c r="C59" s="93">
        <f>C57/C58</f>
        <v>4.8073180664330692</v>
      </c>
      <c r="D59" s="93">
        <f t="shared" ref="D59:G59" si="23">D57/D58</f>
        <v>4.058835601242345</v>
      </c>
      <c r="E59" s="93">
        <f t="shared" si="23"/>
        <v>3.3173504591129124</v>
      </c>
      <c r="F59" s="93">
        <f t="shared" si="23"/>
        <v>2.5823096044649021</v>
      </c>
      <c r="G59" s="93">
        <f t="shared" si="23"/>
        <v>1.8531956142152952</v>
      </c>
      <c r="H59" s="52" t="s">
        <v>287</v>
      </c>
    </row>
    <row r="60" spans="1:8" x14ac:dyDescent="0.35">
      <c r="A60" s="78"/>
      <c r="B60" s="78" t="s">
        <v>288</v>
      </c>
      <c r="C60" s="92">
        <f>C58/C23</f>
        <v>2.2136720006889208</v>
      </c>
      <c r="D60" s="92">
        <f t="shared" ref="D60:G60" si="24">D58/D23</f>
        <v>2.5564571974507366</v>
      </c>
      <c r="E60" s="92">
        <f t="shared" si="24"/>
        <v>3.0193550712713337</v>
      </c>
      <c r="F60" s="92">
        <f t="shared" si="24"/>
        <v>3.6794285185913647</v>
      </c>
      <c r="G60" s="92">
        <f t="shared" si="24"/>
        <v>4.6975623020237283</v>
      </c>
      <c r="H60" s="64" t="s">
        <v>289</v>
      </c>
    </row>
    <row r="61" spans="1:8" x14ac:dyDescent="0.35">
      <c r="A61" s="78"/>
      <c r="B61" s="78" t="s">
        <v>290</v>
      </c>
      <c r="C61" s="85">
        <f>$C$16-C41</f>
        <v>184.38317029749987</v>
      </c>
      <c r="D61" s="85">
        <f t="shared" ref="D61:G61" si="25">$C$16-D41</f>
        <v>403.28999897358017</v>
      </c>
      <c r="E61" s="85">
        <f t="shared" si="25"/>
        <v>660.31066328270572</v>
      </c>
      <c r="F61" s="85">
        <f t="shared" si="25"/>
        <v>959.34443926562244</v>
      </c>
      <c r="G61" s="85">
        <f t="shared" si="25"/>
        <v>1304.6238477996662</v>
      </c>
      <c r="H61" s="64" t="s">
        <v>291</v>
      </c>
    </row>
    <row r="62" spans="1:8" x14ac:dyDescent="0.35">
      <c r="A62" s="78"/>
      <c r="B62" s="80" t="s">
        <v>292</v>
      </c>
      <c r="C62" s="89">
        <f>G57</f>
        <v>1135.0361522003336</v>
      </c>
      <c r="D62" s="78"/>
      <c r="E62" s="78"/>
      <c r="F62" s="78"/>
      <c r="G62" s="78"/>
      <c r="H62" s="64" t="s">
        <v>293</v>
      </c>
    </row>
    <row r="63" spans="1:8" x14ac:dyDescent="0.35">
      <c r="A63" s="78"/>
      <c r="B63" s="78" t="s">
        <v>294</v>
      </c>
      <c r="C63" s="92">
        <f>G59</f>
        <v>1.8531956142152952</v>
      </c>
      <c r="D63" s="78"/>
      <c r="E63" s="78"/>
      <c r="F63" s="78"/>
      <c r="G63" s="78"/>
      <c r="H63" s="64" t="s">
        <v>295</v>
      </c>
    </row>
    <row r="64" spans="1:8" x14ac:dyDescent="0.35">
      <c r="A64" s="78"/>
      <c r="B64" s="78" t="s">
        <v>296</v>
      </c>
      <c r="C64" s="85">
        <f>G61</f>
        <v>1304.6238477996662</v>
      </c>
      <c r="D64" s="78"/>
      <c r="E64" s="78"/>
      <c r="F64" s="78"/>
      <c r="G64" s="78"/>
      <c r="H64" s="64" t="s">
        <v>297</v>
      </c>
    </row>
    <row r="65" spans="1:8" x14ac:dyDescent="0.35">
      <c r="A65" s="78"/>
      <c r="B65" s="78"/>
      <c r="C65" s="78"/>
      <c r="D65" s="78"/>
      <c r="E65" s="78"/>
      <c r="F65" s="78"/>
      <c r="G65" s="78"/>
      <c r="H65" s="78"/>
    </row>
    <row r="66" spans="1:8" ht="46" customHeight="1" x14ac:dyDescent="0.35">
      <c r="A66" s="78"/>
      <c r="B66" s="147" t="s">
        <v>298</v>
      </c>
      <c r="C66" s="148"/>
      <c r="D66" s="148"/>
      <c r="E66" s="148"/>
      <c r="F66" s="148"/>
      <c r="G66" s="148"/>
      <c r="H66" s="148"/>
    </row>
    <row r="67" spans="1:8" x14ac:dyDescent="0.35">
      <c r="A67" s="78"/>
      <c r="B67" s="78"/>
      <c r="C67" s="78"/>
      <c r="D67" s="78"/>
      <c r="E67" s="78"/>
      <c r="F67" s="78"/>
      <c r="G67" s="78"/>
      <c r="H67" s="78"/>
    </row>
    <row r="68" spans="1:8" x14ac:dyDescent="0.35">
      <c r="A68" s="78"/>
      <c r="B68" s="78"/>
      <c r="C68" s="78"/>
      <c r="D68" s="78"/>
      <c r="E68" s="78"/>
      <c r="F68" s="78"/>
      <c r="G68" s="78"/>
      <c r="H68" s="78"/>
    </row>
    <row r="69" spans="1:8" x14ac:dyDescent="0.35">
      <c r="A69" s="78"/>
      <c r="B69" s="78"/>
      <c r="C69" s="78"/>
      <c r="D69" s="78"/>
      <c r="E69" s="78"/>
      <c r="F69" s="78"/>
      <c r="G69" s="78"/>
      <c r="H69" s="78"/>
    </row>
    <row r="70" spans="1:8" x14ac:dyDescent="0.35">
      <c r="A70" s="78"/>
      <c r="B70" s="78"/>
      <c r="C70" s="78"/>
      <c r="D70" s="78"/>
      <c r="E70" s="78"/>
      <c r="F70" s="78"/>
      <c r="G70" s="78"/>
      <c r="H70" s="78"/>
    </row>
  </sheetData>
  <mergeCells count="1">
    <mergeCell ref="B66:H66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0C04-DBAE-4857-96BA-ECAB10F2F2F5}">
  <dimension ref="A1:H80"/>
  <sheetViews>
    <sheetView showGridLines="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3.26953125" customWidth="1"/>
    <col min="2" max="2" width="45.453125" customWidth="1"/>
    <col min="3" max="7" width="17.26953125" customWidth="1"/>
    <col min="8" max="8" width="60" customWidth="1"/>
  </cols>
  <sheetData>
    <row r="1" spans="1:8" ht="16.5" x14ac:dyDescent="0.35">
      <c r="A1" s="18"/>
      <c r="B1" s="75" t="s">
        <v>59</v>
      </c>
      <c r="C1" s="125"/>
      <c r="D1" s="125"/>
      <c r="E1" s="125"/>
      <c r="F1" s="125"/>
      <c r="G1" s="125"/>
      <c r="H1" s="125"/>
    </row>
    <row r="2" spans="1:8" x14ac:dyDescent="0.35">
      <c r="A2" s="18"/>
      <c r="B2" s="76" t="s">
        <v>299</v>
      </c>
      <c r="C2" s="125"/>
      <c r="D2" s="125"/>
      <c r="E2" s="125"/>
      <c r="F2" s="125"/>
      <c r="G2" s="125"/>
      <c r="H2" s="125"/>
    </row>
    <row r="3" spans="1:8" x14ac:dyDescent="0.35">
      <c r="A3" s="18"/>
      <c r="B3" s="77" t="s">
        <v>300</v>
      </c>
      <c r="C3" s="18"/>
      <c r="D3" s="18"/>
      <c r="E3" s="18"/>
      <c r="F3" s="18"/>
      <c r="G3" s="18"/>
      <c r="H3" s="18"/>
    </row>
    <row r="4" spans="1:8" x14ac:dyDescent="0.35">
      <c r="A4" s="18"/>
      <c r="B4" s="18"/>
      <c r="C4" s="18"/>
      <c r="D4" s="18"/>
      <c r="E4" s="18"/>
      <c r="F4" s="18"/>
      <c r="G4" s="18"/>
      <c r="H4" s="18"/>
    </row>
    <row r="5" spans="1:8" x14ac:dyDescent="0.35">
      <c r="A5" s="18"/>
      <c r="B5" s="70" t="s">
        <v>301</v>
      </c>
      <c r="C5" s="71" t="s">
        <v>4</v>
      </c>
      <c r="D5" s="134"/>
      <c r="E5" s="134"/>
      <c r="F5" s="134"/>
      <c r="G5" s="134"/>
      <c r="H5" s="72" t="s">
        <v>96</v>
      </c>
    </row>
    <row r="6" spans="1:8" x14ac:dyDescent="0.35">
      <c r="A6" s="18"/>
      <c r="B6" s="18" t="s">
        <v>302</v>
      </c>
      <c r="C6" s="106">
        <v>5</v>
      </c>
      <c r="D6" s="18"/>
      <c r="E6" s="18"/>
      <c r="F6" s="18"/>
      <c r="G6" s="18"/>
      <c r="H6" s="24" t="s">
        <v>303</v>
      </c>
    </row>
    <row r="7" spans="1:8" x14ac:dyDescent="0.35">
      <c r="A7" s="18"/>
      <c r="B7" s="18" t="s">
        <v>304</v>
      </c>
      <c r="C7" s="107">
        <v>11.2</v>
      </c>
      <c r="D7" s="18"/>
      <c r="E7" s="18"/>
      <c r="F7" s="18"/>
      <c r="G7" s="18"/>
      <c r="H7" s="24" t="s">
        <v>305</v>
      </c>
    </row>
    <row r="8" spans="1:8" x14ac:dyDescent="0.35">
      <c r="A8" s="18"/>
      <c r="B8" s="90" t="s">
        <v>306</v>
      </c>
      <c r="C8" s="108">
        <f>'Transaction Data'!C54</f>
        <v>11.188185276348177</v>
      </c>
      <c r="D8" s="18"/>
      <c r="E8" s="18"/>
      <c r="F8" s="18"/>
      <c r="G8" s="18"/>
      <c r="H8" s="24" t="s">
        <v>307</v>
      </c>
    </row>
    <row r="9" spans="1:8" x14ac:dyDescent="0.35">
      <c r="A9" s="18"/>
      <c r="B9" s="18"/>
      <c r="C9" s="18"/>
      <c r="D9" s="18"/>
      <c r="E9" s="18"/>
      <c r="F9" s="18"/>
      <c r="G9" s="18"/>
      <c r="H9" s="18"/>
    </row>
    <row r="10" spans="1:8" x14ac:dyDescent="0.35">
      <c r="A10" s="18"/>
      <c r="B10" s="70" t="s">
        <v>308</v>
      </c>
      <c r="C10" s="71" t="s">
        <v>309</v>
      </c>
      <c r="D10" s="134"/>
      <c r="E10" s="134"/>
      <c r="F10" s="134"/>
      <c r="G10" s="134"/>
      <c r="H10" s="72" t="s">
        <v>96</v>
      </c>
    </row>
    <row r="11" spans="1:8" x14ac:dyDescent="0.35">
      <c r="A11" s="18"/>
      <c r="B11" s="18" t="s">
        <v>310</v>
      </c>
      <c r="C11" s="88">
        <f>'2 · Sources &amp; Uses'!C23</f>
        <v>2696.7887499999997</v>
      </c>
      <c r="D11" s="18"/>
      <c r="E11" s="18"/>
      <c r="F11" s="18"/>
      <c r="G11" s="18"/>
      <c r="H11" s="24" t="s">
        <v>311</v>
      </c>
    </row>
    <row r="12" spans="1:8" x14ac:dyDescent="0.35">
      <c r="A12" s="18"/>
      <c r="B12" s="18" t="s">
        <v>312</v>
      </c>
      <c r="C12" s="88">
        <f>'3 · Operating Model'!H15</f>
        <v>612.4750908613313</v>
      </c>
      <c r="D12" s="18"/>
      <c r="E12" s="18"/>
      <c r="F12" s="18"/>
      <c r="G12" s="18"/>
      <c r="H12" s="24" t="s">
        <v>313</v>
      </c>
    </row>
    <row r="13" spans="1:8" x14ac:dyDescent="0.35">
      <c r="A13" s="18"/>
      <c r="B13" s="18" t="s">
        <v>314</v>
      </c>
      <c r="C13" s="109">
        <f>C7</f>
        <v>11.2</v>
      </c>
      <c r="D13" s="18"/>
      <c r="E13" s="18"/>
      <c r="F13" s="18"/>
      <c r="G13" s="18"/>
      <c r="H13" s="110" t="s">
        <v>315</v>
      </c>
    </row>
    <row r="14" spans="1:8" x14ac:dyDescent="0.35">
      <c r="A14" s="18"/>
      <c r="B14" s="111" t="s">
        <v>316</v>
      </c>
      <c r="C14" s="112">
        <f>C12*C13</f>
        <v>6859.7210176469098</v>
      </c>
      <c r="D14" s="18"/>
      <c r="E14" s="18"/>
      <c r="F14" s="18"/>
      <c r="G14" s="18"/>
      <c r="H14" s="110" t="s">
        <v>317</v>
      </c>
    </row>
    <row r="15" spans="1:8" x14ac:dyDescent="0.35">
      <c r="A15" s="18"/>
      <c r="B15" s="18" t="s">
        <v>318</v>
      </c>
      <c r="C15" s="88">
        <f>'4 · Debt Schedule &amp; FCF'!G57</f>
        <v>1135.0361522003336</v>
      </c>
      <c r="D15" s="18"/>
      <c r="E15" s="18"/>
      <c r="F15" s="18"/>
      <c r="G15" s="18"/>
      <c r="H15" s="24" t="s">
        <v>319</v>
      </c>
    </row>
    <row r="16" spans="1:8" x14ac:dyDescent="0.35">
      <c r="A16" s="18"/>
      <c r="B16" s="111" t="s">
        <v>320</v>
      </c>
      <c r="C16" s="112">
        <f>C14-C15</f>
        <v>5724.6848654465757</v>
      </c>
      <c r="D16" s="18"/>
      <c r="E16" s="18"/>
      <c r="F16" s="18"/>
      <c r="G16" s="18"/>
      <c r="H16" s="110" t="s">
        <v>321</v>
      </c>
    </row>
    <row r="17" spans="1:8" x14ac:dyDescent="0.35">
      <c r="A17" s="18"/>
      <c r="B17" s="113" t="s">
        <v>322</v>
      </c>
      <c r="C17" s="114">
        <f>C16/C11</f>
        <v>2.1227783842715069</v>
      </c>
      <c r="D17" s="18"/>
      <c r="E17" s="18"/>
      <c r="F17" s="18"/>
      <c r="G17" s="18"/>
      <c r="H17" s="110" t="s">
        <v>323</v>
      </c>
    </row>
    <row r="18" spans="1:8" x14ac:dyDescent="0.35">
      <c r="A18" s="18"/>
      <c r="B18" s="126" t="s">
        <v>324</v>
      </c>
      <c r="C18" s="127">
        <f>C17^(1/C6)-1</f>
        <v>0.16246779846905124</v>
      </c>
      <c r="D18" s="56"/>
      <c r="E18" s="56"/>
      <c r="F18" s="56"/>
      <c r="G18" s="56"/>
      <c r="H18" s="128" t="s">
        <v>325</v>
      </c>
    </row>
    <row r="19" spans="1:8" x14ac:dyDescent="0.35">
      <c r="A19" s="18"/>
      <c r="B19" s="18"/>
      <c r="C19" s="18"/>
      <c r="D19" s="18"/>
      <c r="E19" s="18"/>
      <c r="F19" s="18"/>
      <c r="G19" s="18"/>
      <c r="H19" s="18"/>
    </row>
    <row r="20" spans="1:8" x14ac:dyDescent="0.35">
      <c r="A20" s="18"/>
      <c r="B20" s="70" t="s">
        <v>326</v>
      </c>
      <c r="C20" s="71" t="s">
        <v>327</v>
      </c>
      <c r="D20" s="71" t="s">
        <v>328</v>
      </c>
      <c r="E20" s="71" t="s">
        <v>329</v>
      </c>
      <c r="F20" s="134"/>
      <c r="G20" s="134"/>
      <c r="H20" s="72" t="s">
        <v>96</v>
      </c>
    </row>
    <row r="21" spans="1:8" x14ac:dyDescent="0.35">
      <c r="A21" s="18"/>
      <c r="B21" s="90" t="s">
        <v>330</v>
      </c>
      <c r="C21" s="18"/>
      <c r="D21" s="18"/>
      <c r="E21" s="18"/>
      <c r="F21" s="18"/>
      <c r="G21" s="18"/>
      <c r="H21" s="24" t="s">
        <v>331</v>
      </c>
    </row>
    <row r="22" spans="1:8" x14ac:dyDescent="0.35">
      <c r="A22" s="18"/>
      <c r="B22" s="107">
        <v>9</v>
      </c>
      <c r="C22" s="115">
        <f>B22*$C$12-$C$15</f>
        <v>4377.2396655516477</v>
      </c>
      <c r="D22" s="116">
        <f>C22/$C$11</f>
        <v>1.623130349216878</v>
      </c>
      <c r="E22" s="117">
        <f>D22^(1/$C$6)-1</f>
        <v>0.10171859514274906</v>
      </c>
      <c r="F22" s="18"/>
      <c r="G22" s="18"/>
      <c r="H22" s="18"/>
    </row>
    <row r="23" spans="1:8" x14ac:dyDescent="0.35">
      <c r="A23" s="18"/>
      <c r="B23" s="107">
        <v>9.5</v>
      </c>
      <c r="C23" s="115">
        <f t="shared" ref="C23:C31" si="0">B23*$C$12-$C$15</f>
        <v>4683.4772109823134</v>
      </c>
      <c r="D23" s="116">
        <f t="shared" ref="D23:D31" si="1">C23/$C$11</f>
        <v>1.7366867208202028</v>
      </c>
      <c r="E23" s="117">
        <f t="shared" ref="E23:E31" si="2">D23^(1/$C$6)-1</f>
        <v>0.11672000634652147</v>
      </c>
      <c r="F23" s="18"/>
      <c r="G23" s="18"/>
      <c r="H23" s="18"/>
    </row>
    <row r="24" spans="1:8" x14ac:dyDescent="0.35">
      <c r="A24" s="18"/>
      <c r="B24" s="107">
        <v>10</v>
      </c>
      <c r="C24" s="115">
        <f t="shared" si="0"/>
        <v>4989.7147564129791</v>
      </c>
      <c r="D24" s="116">
        <f t="shared" si="1"/>
        <v>1.8502430924235276</v>
      </c>
      <c r="E24" s="117">
        <f t="shared" si="2"/>
        <v>0.13095612847826388</v>
      </c>
      <c r="F24" s="18"/>
      <c r="G24" s="18"/>
      <c r="H24" s="18"/>
    </row>
    <row r="25" spans="1:8" x14ac:dyDescent="0.35">
      <c r="A25" s="18"/>
      <c r="B25" s="107">
        <v>10.5</v>
      </c>
      <c r="C25" s="115">
        <f t="shared" si="0"/>
        <v>5295.9523018436448</v>
      </c>
      <c r="D25" s="116">
        <f t="shared" si="1"/>
        <v>1.9637994640268523</v>
      </c>
      <c r="E25" s="117">
        <f t="shared" si="2"/>
        <v>0.14450956732156817</v>
      </c>
      <c r="F25" s="18"/>
      <c r="G25" s="18"/>
      <c r="H25" s="18"/>
    </row>
    <row r="26" spans="1:8" x14ac:dyDescent="0.35">
      <c r="A26" s="18"/>
      <c r="B26" s="121">
        <v>11</v>
      </c>
      <c r="C26" s="122">
        <f t="shared" si="0"/>
        <v>5602.1898472743105</v>
      </c>
      <c r="D26" s="123">
        <f t="shared" si="1"/>
        <v>2.0773558356301773</v>
      </c>
      <c r="E26" s="124">
        <f t="shared" si="2"/>
        <v>0.15744983903026499</v>
      </c>
      <c r="F26" s="18"/>
      <c r="G26" s="18"/>
      <c r="H26" s="18"/>
    </row>
    <row r="27" spans="1:8" x14ac:dyDescent="0.35">
      <c r="A27" s="18"/>
      <c r="B27" s="121">
        <v>11.5</v>
      </c>
      <c r="C27" s="122">
        <f t="shared" si="0"/>
        <v>5908.4273927049762</v>
      </c>
      <c r="D27" s="123">
        <f t="shared" si="1"/>
        <v>2.1909122072335019</v>
      </c>
      <c r="E27" s="124">
        <f t="shared" si="2"/>
        <v>0.16983603506298373</v>
      </c>
      <c r="F27" s="18"/>
      <c r="G27" s="18"/>
      <c r="H27" s="18"/>
    </row>
    <row r="28" spans="1:8" x14ac:dyDescent="0.35">
      <c r="A28" s="18"/>
      <c r="B28" s="107">
        <v>12</v>
      </c>
      <c r="C28" s="115">
        <f t="shared" si="0"/>
        <v>6214.6649381356419</v>
      </c>
      <c r="D28" s="116">
        <f t="shared" si="1"/>
        <v>2.3044685788368269</v>
      </c>
      <c r="E28" s="117">
        <f t="shared" si="2"/>
        <v>0.18171883646528464</v>
      </c>
      <c r="F28" s="18"/>
      <c r="G28" s="18"/>
      <c r="H28" s="18"/>
    </row>
    <row r="29" spans="1:8" x14ac:dyDescent="0.35">
      <c r="A29" s="18"/>
      <c r="B29" s="107">
        <v>12.5</v>
      </c>
      <c r="C29" s="115">
        <f t="shared" si="0"/>
        <v>6520.9024835663076</v>
      </c>
      <c r="D29" s="116">
        <f t="shared" si="1"/>
        <v>2.4180249504401514</v>
      </c>
      <c r="E29" s="117">
        <f t="shared" si="2"/>
        <v>0.19314206020519675</v>
      </c>
      <c r="F29" s="18"/>
      <c r="G29" s="18"/>
      <c r="H29" s="18"/>
    </row>
    <row r="30" spans="1:8" x14ac:dyDescent="0.35">
      <c r="A30" s="18"/>
      <c r="B30" s="107">
        <v>13</v>
      </c>
      <c r="C30" s="115">
        <f t="shared" si="0"/>
        <v>6827.1400289969733</v>
      </c>
      <c r="D30" s="116">
        <f t="shared" si="1"/>
        <v>2.5315813220434764</v>
      </c>
      <c r="E30" s="117">
        <f t="shared" si="2"/>
        <v>0.20414386288337094</v>
      </c>
      <c r="F30" s="18"/>
      <c r="G30" s="18"/>
      <c r="H30" s="18"/>
    </row>
    <row r="31" spans="1:8" x14ac:dyDescent="0.35">
      <c r="A31" s="18"/>
      <c r="B31" s="129">
        <v>13.5</v>
      </c>
      <c r="C31" s="130">
        <f t="shared" si="0"/>
        <v>7133.377574427639</v>
      </c>
      <c r="D31" s="131">
        <f t="shared" si="1"/>
        <v>2.645137693646801</v>
      </c>
      <c r="E31" s="132">
        <f t="shared" si="2"/>
        <v>0.21475768951949292</v>
      </c>
      <c r="F31" s="56"/>
      <c r="G31" s="56"/>
      <c r="H31" s="56"/>
    </row>
    <row r="32" spans="1:8" x14ac:dyDescent="0.35">
      <c r="A32" s="18"/>
      <c r="B32" s="18"/>
      <c r="C32" s="18"/>
      <c r="D32" s="18"/>
      <c r="E32" s="18"/>
      <c r="F32" s="18"/>
      <c r="G32" s="18"/>
      <c r="H32" s="18"/>
    </row>
    <row r="33" spans="1:8" x14ac:dyDescent="0.35">
      <c r="A33" s="18"/>
      <c r="B33" s="70" t="s">
        <v>332</v>
      </c>
      <c r="C33" s="134"/>
      <c r="D33" s="134"/>
      <c r="E33" s="134"/>
      <c r="F33" s="134"/>
      <c r="G33" s="134"/>
      <c r="H33" s="72" t="s">
        <v>96</v>
      </c>
    </row>
    <row r="34" spans="1:8" x14ac:dyDescent="0.35">
      <c r="A34" s="18"/>
      <c r="B34" s="90" t="s">
        <v>333</v>
      </c>
      <c r="C34" s="118">
        <v>-0.1</v>
      </c>
      <c r="D34" s="118">
        <v>-0.05</v>
      </c>
      <c r="E34" s="118">
        <v>0</v>
      </c>
      <c r="F34" s="118">
        <v>0.05</v>
      </c>
      <c r="G34" s="118">
        <v>0.1</v>
      </c>
      <c r="H34" s="24" t="s">
        <v>335</v>
      </c>
    </row>
    <row r="35" spans="1:8" x14ac:dyDescent="0.35">
      <c r="A35" s="18"/>
      <c r="B35" s="90" t="s">
        <v>334</v>
      </c>
      <c r="C35" s="119">
        <f>$C$12*(1+C34)</f>
        <v>551.22758177519813</v>
      </c>
      <c r="D35" s="119">
        <f t="shared" ref="D35:G35" si="3">$C$12*(1+D34)</f>
        <v>581.85133631826466</v>
      </c>
      <c r="E35" s="119">
        <f t="shared" si="3"/>
        <v>612.4750908613313</v>
      </c>
      <c r="F35" s="119">
        <f t="shared" si="3"/>
        <v>643.09884540439793</v>
      </c>
      <c r="G35" s="119">
        <f t="shared" si="3"/>
        <v>673.72259994746446</v>
      </c>
      <c r="H35" s="110" t="s">
        <v>336</v>
      </c>
    </row>
    <row r="36" spans="1:8" x14ac:dyDescent="0.35">
      <c r="A36" s="18"/>
      <c r="B36" s="107">
        <v>9</v>
      </c>
      <c r="C36" s="117">
        <f>(($B36*C$35-$C$15)/$C$11)^(1/$C$6)-1</f>
        <v>7.2456984373328259E-2</v>
      </c>
      <c r="D36" s="117">
        <f t="shared" ref="D36:G44" si="4">(($B36*D$35-$C$15)/$C$11)^(1/$C$6)-1</f>
        <v>8.7481364037051978E-2</v>
      </c>
      <c r="E36" s="117">
        <f t="shared" si="4"/>
        <v>0.10171859514274906</v>
      </c>
      <c r="F36" s="117">
        <f t="shared" si="4"/>
        <v>0.11525579697123156</v>
      </c>
      <c r="G36" s="117">
        <f t="shared" si="4"/>
        <v>0.12816595405472064</v>
      </c>
      <c r="H36" s="24" t="s">
        <v>337</v>
      </c>
    </row>
    <row r="37" spans="1:8" x14ac:dyDescent="0.35">
      <c r="A37" s="18"/>
      <c r="B37" s="107">
        <v>9.5</v>
      </c>
      <c r="C37" s="117">
        <f t="shared" ref="C37:C44" si="5">(($B37*C$35-$C$15)/$C$11)^(1/$C$6)-1</f>
        <v>8.7481364037051978E-2</v>
      </c>
      <c r="D37" s="117">
        <f t="shared" si="4"/>
        <v>0.10248829598327891</v>
      </c>
      <c r="E37" s="117">
        <f t="shared" si="4"/>
        <v>0.11672000634652147</v>
      </c>
      <c r="F37" s="117">
        <f t="shared" si="4"/>
        <v>0.13026116462684301</v>
      </c>
      <c r="G37" s="117">
        <f t="shared" si="4"/>
        <v>0.14318287368893445</v>
      </c>
      <c r="H37" s="18"/>
    </row>
    <row r="38" spans="1:8" x14ac:dyDescent="0.35">
      <c r="A38" s="18"/>
      <c r="B38" s="107">
        <v>10</v>
      </c>
      <c r="C38" s="117">
        <f t="shared" si="5"/>
        <v>0.10171859514274906</v>
      </c>
      <c r="D38" s="117">
        <f t="shared" si="4"/>
        <v>0.11672000634652147</v>
      </c>
      <c r="E38" s="117">
        <f t="shared" si="4"/>
        <v>0.13095612847826388</v>
      </c>
      <c r="F38" s="117">
        <f t="shared" si="4"/>
        <v>0.14450956732156839</v>
      </c>
      <c r="G38" s="117">
        <f t="shared" si="4"/>
        <v>0.15744983903026499</v>
      </c>
      <c r="H38" s="18"/>
    </row>
    <row r="39" spans="1:8" x14ac:dyDescent="0.35">
      <c r="A39" s="18"/>
      <c r="B39" s="107">
        <v>10.5</v>
      </c>
      <c r="C39" s="117">
        <f t="shared" si="5"/>
        <v>0.11525579697123156</v>
      </c>
      <c r="D39" s="117">
        <f t="shared" si="4"/>
        <v>0.13026116462684301</v>
      </c>
      <c r="E39" s="117">
        <f t="shared" si="4"/>
        <v>0.14450956732156817</v>
      </c>
      <c r="F39" s="117">
        <f t="shared" si="4"/>
        <v>0.15808185565980803</v>
      </c>
      <c r="G39" s="117">
        <f t="shared" si="4"/>
        <v>0.17104619561949419</v>
      </c>
      <c r="H39" s="18"/>
    </row>
    <row r="40" spans="1:8" x14ac:dyDescent="0.35">
      <c r="A40" s="18"/>
      <c r="B40" s="107">
        <v>11</v>
      </c>
      <c r="C40" s="117">
        <f t="shared" si="5"/>
        <v>0.12816595405472042</v>
      </c>
      <c r="D40" s="117">
        <f t="shared" si="4"/>
        <v>0.14318287368893445</v>
      </c>
      <c r="E40" s="124">
        <f t="shared" si="4"/>
        <v>0.15744983903026499</v>
      </c>
      <c r="F40" s="117">
        <f t="shared" si="4"/>
        <v>0.17104619561949419</v>
      </c>
      <c r="G40" s="117">
        <f t="shared" si="4"/>
        <v>0.18403895157324568</v>
      </c>
      <c r="H40" s="18"/>
    </row>
    <row r="41" spans="1:8" x14ac:dyDescent="0.35">
      <c r="A41" s="18"/>
      <c r="B41" s="107">
        <v>11.5</v>
      </c>
      <c r="C41" s="117">
        <f t="shared" si="5"/>
        <v>0.14051085893298465</v>
      </c>
      <c r="D41" s="117">
        <f t="shared" si="4"/>
        <v>0.15554546103469291</v>
      </c>
      <c r="E41" s="124">
        <f t="shared" si="4"/>
        <v>0.16983603506298373</v>
      </c>
      <c r="F41" s="117">
        <f t="shared" si="4"/>
        <v>0.18346062679920672</v>
      </c>
      <c r="G41" s="117">
        <f t="shared" si="4"/>
        <v>0.19648524476193296</v>
      </c>
      <c r="H41" s="18"/>
    </row>
    <row r="42" spans="1:8" x14ac:dyDescent="0.35">
      <c r="A42" s="18"/>
      <c r="B42" s="107">
        <v>12</v>
      </c>
      <c r="C42" s="117">
        <f t="shared" si="5"/>
        <v>0.15234332102161607</v>
      </c>
      <c r="D42" s="117">
        <f t="shared" si="4"/>
        <v>0.16740058173374139</v>
      </c>
      <c r="E42" s="117">
        <f t="shared" si="4"/>
        <v>0.18171883646528464</v>
      </c>
      <c r="F42" s="117">
        <f t="shared" si="4"/>
        <v>0.1953750016292557</v>
      </c>
      <c r="G42" s="117">
        <f t="shared" si="4"/>
        <v>0.20843421778758287</v>
      </c>
      <c r="H42" s="18"/>
    </row>
    <row r="43" spans="1:8" x14ac:dyDescent="0.35">
      <c r="A43" s="18"/>
      <c r="B43" s="107">
        <v>12.5</v>
      </c>
      <c r="C43" s="117">
        <f t="shared" si="5"/>
        <v>0.16370885187326412</v>
      </c>
      <c r="D43" s="117">
        <f t="shared" si="4"/>
        <v>0.17879282814820963</v>
      </c>
      <c r="E43" s="117">
        <f t="shared" si="4"/>
        <v>0.19314206020519675</v>
      </c>
      <c r="F43" s="117">
        <f t="shared" si="4"/>
        <v>0.20683247789859172</v>
      </c>
      <c r="G43" s="117">
        <f t="shared" si="4"/>
        <v>0.21992846437882529</v>
      </c>
      <c r="H43" s="18"/>
    </row>
    <row r="44" spans="1:8" x14ac:dyDescent="0.35">
      <c r="A44" s="18"/>
      <c r="B44" s="129">
        <v>13</v>
      </c>
      <c r="C44" s="132">
        <f t="shared" si="5"/>
        <v>0.17464696978332594</v>
      </c>
      <c r="D44" s="132">
        <f t="shared" si="4"/>
        <v>0.18976097974064343</v>
      </c>
      <c r="E44" s="132">
        <f t="shared" si="4"/>
        <v>0.20414386288337094</v>
      </c>
      <c r="F44" s="132">
        <f t="shared" si="4"/>
        <v>0.21787068325553327</v>
      </c>
      <c r="G44" s="132">
        <f t="shared" si="4"/>
        <v>0.23100516022044615</v>
      </c>
      <c r="H44" s="56"/>
    </row>
    <row r="45" spans="1:8" x14ac:dyDescent="0.35">
      <c r="A45" s="18"/>
      <c r="B45" s="18"/>
      <c r="C45" s="18"/>
      <c r="D45" s="18"/>
      <c r="E45" s="18"/>
      <c r="F45" s="18"/>
      <c r="G45" s="18"/>
      <c r="H45" s="18"/>
    </row>
    <row r="46" spans="1:8" x14ac:dyDescent="0.35">
      <c r="A46" s="18"/>
      <c r="B46" s="24" t="s">
        <v>338</v>
      </c>
      <c r="C46" s="18"/>
      <c r="D46" s="18"/>
      <c r="E46" s="18"/>
      <c r="F46" s="18"/>
      <c r="G46" s="18"/>
      <c r="H46" s="18"/>
    </row>
    <row r="47" spans="1:8" x14ac:dyDescent="0.35">
      <c r="A47" s="18"/>
      <c r="B47" s="18"/>
      <c r="C47" s="18"/>
      <c r="D47" s="18"/>
      <c r="E47" s="18"/>
      <c r="F47" s="18"/>
      <c r="G47" s="18"/>
      <c r="H47" s="18"/>
    </row>
    <row r="48" spans="1:8" x14ac:dyDescent="0.35">
      <c r="A48" s="18"/>
      <c r="B48" s="70" t="s">
        <v>339</v>
      </c>
      <c r="C48" s="71" t="s">
        <v>340</v>
      </c>
      <c r="D48" s="71" t="s">
        <v>341</v>
      </c>
      <c r="E48" s="71" t="s">
        <v>342</v>
      </c>
      <c r="F48" s="134"/>
      <c r="G48" s="134"/>
      <c r="H48" s="72" t="s">
        <v>96</v>
      </c>
    </row>
    <row r="49" spans="1:8" x14ac:dyDescent="0.35">
      <c r="A49" s="18"/>
      <c r="B49" s="90" t="s">
        <v>343</v>
      </c>
      <c r="C49" s="18"/>
      <c r="D49" s="18"/>
      <c r="E49" s="18"/>
      <c r="F49" s="18"/>
      <c r="G49" s="18"/>
      <c r="H49" s="24" t="s">
        <v>344</v>
      </c>
    </row>
    <row r="50" spans="1:8" x14ac:dyDescent="0.35">
      <c r="A50" s="18"/>
      <c r="B50" s="54">
        <v>0.15</v>
      </c>
      <c r="C50" s="115">
        <f>$C$11*(1+B50)^$C$6</f>
        <v>5424.2054354816382</v>
      </c>
      <c r="D50" s="115">
        <f>C50+$C$15</f>
        <v>6559.2415876819723</v>
      </c>
      <c r="E50" s="120">
        <f>D50/$C$12</f>
        <v>10.709401387177444</v>
      </c>
      <c r="F50" s="18"/>
      <c r="G50" s="18"/>
      <c r="H50" s="18"/>
    </row>
    <row r="51" spans="1:8" x14ac:dyDescent="0.35">
      <c r="A51" s="18"/>
      <c r="B51" s="54">
        <v>0.2</v>
      </c>
      <c r="C51" s="115">
        <f t="shared" ref="C51:C52" si="6">$C$11*(1+B51)^$C$6</f>
        <v>6710.4733823999986</v>
      </c>
      <c r="D51" s="115">
        <f t="shared" ref="D51:D52" si="7">C51+$C$15</f>
        <v>7845.5095346003327</v>
      </c>
      <c r="E51" s="120">
        <f t="shared" ref="E51:E52" si="8">D51/$C$12</f>
        <v>12.809516095694757</v>
      </c>
      <c r="F51" s="18"/>
      <c r="G51" s="18"/>
      <c r="H51" s="18"/>
    </row>
    <row r="52" spans="1:8" x14ac:dyDescent="0.35">
      <c r="A52" s="18"/>
      <c r="B52" s="7">
        <v>0.25</v>
      </c>
      <c r="C52" s="130">
        <f t="shared" si="6"/>
        <v>8229.9461364746094</v>
      </c>
      <c r="D52" s="130">
        <f t="shared" si="7"/>
        <v>9364.9822886749425</v>
      </c>
      <c r="E52" s="133">
        <f t="shared" si="8"/>
        <v>15.290388831168386</v>
      </c>
      <c r="F52" s="56"/>
      <c r="G52" s="56"/>
      <c r="H52" s="56"/>
    </row>
    <row r="53" spans="1:8" x14ac:dyDescent="0.35">
      <c r="A53" s="18"/>
      <c r="B53" s="18"/>
      <c r="C53" s="18"/>
      <c r="D53" s="18"/>
      <c r="E53" s="18"/>
      <c r="F53" s="18"/>
      <c r="G53" s="18"/>
      <c r="H53" s="18"/>
    </row>
    <row r="54" spans="1:8" x14ac:dyDescent="0.35">
      <c r="A54" s="18"/>
      <c r="B54" s="24" t="s">
        <v>345</v>
      </c>
      <c r="C54" s="18"/>
      <c r="D54" s="18"/>
      <c r="E54" s="18"/>
      <c r="F54" s="18"/>
      <c r="G54" s="18"/>
      <c r="H54" s="18"/>
    </row>
    <row r="55" spans="1:8" x14ac:dyDescent="0.35">
      <c r="A55" s="18"/>
      <c r="B55" s="18"/>
      <c r="C55" s="18"/>
      <c r="D55" s="18"/>
      <c r="E55" s="18"/>
      <c r="F55" s="18"/>
      <c r="G55" s="18"/>
      <c r="H55" s="18"/>
    </row>
    <row r="56" spans="1:8" x14ac:dyDescent="0.35">
      <c r="A56" s="18"/>
      <c r="B56" s="18"/>
      <c r="C56" s="18"/>
      <c r="D56" s="18"/>
      <c r="E56" s="18"/>
      <c r="F56" s="18"/>
      <c r="G56" s="18"/>
      <c r="H56" s="18"/>
    </row>
    <row r="57" spans="1:8" x14ac:dyDescent="0.35">
      <c r="A57" s="18"/>
      <c r="B57" s="18"/>
      <c r="C57" s="18"/>
      <c r="D57" s="18"/>
      <c r="E57" s="18"/>
      <c r="F57" s="18"/>
      <c r="G57" s="18"/>
      <c r="H57" s="18"/>
    </row>
    <row r="58" spans="1:8" x14ac:dyDescent="0.35">
      <c r="A58" s="18"/>
      <c r="B58" s="18"/>
      <c r="C58" s="18"/>
      <c r="D58" s="18"/>
      <c r="E58" s="18"/>
      <c r="F58" s="18"/>
      <c r="G58" s="18"/>
      <c r="H58" s="18"/>
    </row>
    <row r="59" spans="1:8" x14ac:dyDescent="0.35">
      <c r="A59" s="18"/>
      <c r="B59" s="18"/>
      <c r="C59" s="18"/>
      <c r="D59" s="18"/>
      <c r="E59" s="18"/>
      <c r="F59" s="18"/>
      <c r="G59" s="18"/>
      <c r="H59" s="18"/>
    </row>
    <row r="60" spans="1:8" x14ac:dyDescent="0.35">
      <c r="A60" s="18"/>
      <c r="B60" s="18"/>
      <c r="C60" s="18"/>
      <c r="D60" s="18"/>
      <c r="E60" s="18"/>
      <c r="F60" s="18"/>
      <c r="G60" s="18"/>
      <c r="H60" s="18"/>
    </row>
    <row r="61" spans="1:8" x14ac:dyDescent="0.35">
      <c r="A61" s="18"/>
      <c r="B61" s="18"/>
      <c r="C61" s="18"/>
      <c r="D61" s="18"/>
      <c r="E61" s="18"/>
      <c r="F61" s="18"/>
      <c r="G61" s="18"/>
      <c r="H61" s="18"/>
    </row>
    <row r="62" spans="1:8" x14ac:dyDescent="0.35">
      <c r="A62" s="18"/>
      <c r="B62" s="18"/>
      <c r="C62" s="18"/>
      <c r="D62" s="18"/>
      <c r="E62" s="18"/>
      <c r="F62" s="18"/>
      <c r="G62" s="18"/>
      <c r="H62" s="18"/>
    </row>
    <row r="63" spans="1:8" x14ac:dyDescent="0.35">
      <c r="A63" s="18"/>
      <c r="B63" s="18"/>
      <c r="C63" s="18"/>
      <c r="D63" s="18"/>
      <c r="E63" s="18"/>
      <c r="F63" s="18"/>
      <c r="G63" s="18"/>
      <c r="H63" s="18"/>
    </row>
    <row r="64" spans="1:8" x14ac:dyDescent="0.35">
      <c r="A64" s="18"/>
      <c r="B64" s="18"/>
      <c r="C64" s="18"/>
      <c r="D64" s="18"/>
      <c r="E64" s="18"/>
      <c r="F64" s="18"/>
      <c r="G64" s="18"/>
      <c r="H64" s="18"/>
    </row>
    <row r="65" spans="1:8" x14ac:dyDescent="0.35">
      <c r="A65" s="18"/>
      <c r="B65" s="18"/>
      <c r="C65" s="18"/>
      <c r="D65" s="18"/>
      <c r="E65" s="18"/>
      <c r="F65" s="18"/>
      <c r="G65" s="18"/>
      <c r="H65" s="18"/>
    </row>
    <row r="66" spans="1:8" x14ac:dyDescent="0.35">
      <c r="A66" s="18"/>
      <c r="B66" s="18"/>
      <c r="C66" s="18"/>
      <c r="D66" s="18"/>
      <c r="E66" s="18"/>
      <c r="F66" s="18"/>
      <c r="G66" s="18"/>
      <c r="H66" s="18"/>
    </row>
    <row r="67" spans="1:8" x14ac:dyDescent="0.35">
      <c r="A67" s="18"/>
      <c r="B67" s="18"/>
      <c r="C67" s="18"/>
      <c r="D67" s="18"/>
      <c r="E67" s="18"/>
      <c r="F67" s="18"/>
      <c r="G67" s="18"/>
      <c r="H67" s="18"/>
    </row>
    <row r="68" spans="1:8" x14ac:dyDescent="0.35">
      <c r="A68" s="18"/>
      <c r="B68" s="18"/>
      <c r="C68" s="18"/>
      <c r="D68" s="18"/>
      <c r="E68" s="18"/>
      <c r="F68" s="18"/>
      <c r="G68" s="18"/>
      <c r="H68" s="18"/>
    </row>
    <row r="69" spans="1:8" x14ac:dyDescent="0.35">
      <c r="A69" s="18"/>
      <c r="B69" s="18"/>
      <c r="C69" s="18"/>
      <c r="D69" s="18"/>
      <c r="E69" s="18"/>
      <c r="F69" s="18"/>
      <c r="G69" s="18"/>
      <c r="H69" s="18"/>
    </row>
    <row r="70" spans="1:8" x14ac:dyDescent="0.35">
      <c r="A70" s="18"/>
      <c r="B70" s="18"/>
      <c r="C70" s="18"/>
      <c r="D70" s="18"/>
      <c r="E70" s="18"/>
      <c r="F70" s="18"/>
      <c r="G70" s="18"/>
      <c r="H70" s="18"/>
    </row>
    <row r="71" spans="1:8" x14ac:dyDescent="0.35">
      <c r="A71" s="18"/>
      <c r="B71" s="18"/>
      <c r="C71" s="18"/>
      <c r="D71" s="18"/>
      <c r="E71" s="18"/>
      <c r="F71" s="18"/>
      <c r="G71" s="18"/>
      <c r="H71" s="18"/>
    </row>
    <row r="72" spans="1:8" x14ac:dyDescent="0.35">
      <c r="A72" s="18"/>
      <c r="B72" s="18"/>
      <c r="C72" s="18"/>
      <c r="D72" s="18"/>
      <c r="E72" s="18"/>
      <c r="F72" s="18"/>
      <c r="G72" s="18"/>
      <c r="H72" s="18"/>
    </row>
    <row r="73" spans="1:8" x14ac:dyDescent="0.35">
      <c r="A73" s="18"/>
      <c r="B73" s="18"/>
      <c r="C73" s="18"/>
      <c r="D73" s="18"/>
      <c r="E73" s="18"/>
      <c r="F73" s="18"/>
      <c r="G73" s="18"/>
      <c r="H73" s="18"/>
    </row>
    <row r="74" spans="1:8" x14ac:dyDescent="0.35">
      <c r="A74" s="18"/>
      <c r="B74" s="18"/>
      <c r="C74" s="18"/>
      <c r="D74" s="18"/>
      <c r="E74" s="18"/>
      <c r="F74" s="18"/>
      <c r="G74" s="18"/>
      <c r="H74" s="18"/>
    </row>
    <row r="75" spans="1:8" x14ac:dyDescent="0.35">
      <c r="A75" s="18"/>
      <c r="B75" s="18"/>
      <c r="C75" s="18"/>
      <c r="D75" s="18"/>
      <c r="E75" s="18"/>
      <c r="F75" s="18"/>
      <c r="G75" s="18"/>
      <c r="H75" s="18"/>
    </row>
    <row r="76" spans="1:8" x14ac:dyDescent="0.35">
      <c r="A76" s="18"/>
      <c r="B76" s="18"/>
      <c r="C76" s="18"/>
      <c r="D76" s="18"/>
      <c r="E76" s="18"/>
      <c r="F76" s="18"/>
      <c r="G76" s="18"/>
      <c r="H76" s="18"/>
    </row>
    <row r="77" spans="1:8" x14ac:dyDescent="0.35">
      <c r="A77" s="18"/>
      <c r="B77" s="18"/>
      <c r="C77" s="18"/>
      <c r="D77" s="18"/>
      <c r="E77" s="18"/>
      <c r="F77" s="18"/>
      <c r="G77" s="18"/>
      <c r="H77" s="18"/>
    </row>
    <row r="78" spans="1:8" x14ac:dyDescent="0.35">
      <c r="A78" s="18"/>
      <c r="B78" s="18"/>
      <c r="C78" s="18"/>
      <c r="D78" s="18"/>
      <c r="E78" s="18"/>
      <c r="F78" s="18"/>
      <c r="G78" s="18"/>
      <c r="H78" s="18"/>
    </row>
    <row r="79" spans="1:8" x14ac:dyDescent="0.35">
      <c r="A79" s="18"/>
      <c r="B79" s="18"/>
      <c r="C79" s="18"/>
      <c r="D79" s="18"/>
      <c r="E79" s="18"/>
      <c r="F79" s="18"/>
      <c r="G79" s="18"/>
      <c r="H79" s="18"/>
    </row>
    <row r="80" spans="1:8" x14ac:dyDescent="0.35">
      <c r="A80" s="18"/>
      <c r="B80" s="18"/>
      <c r="C80" s="18"/>
      <c r="D80" s="18"/>
      <c r="E80" s="18"/>
      <c r="F80" s="18"/>
      <c r="G80" s="18"/>
      <c r="H80" s="1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0 · Cover</vt:lpstr>
      <vt:lpstr>Transaction Data</vt:lpstr>
      <vt:lpstr>1 · Transaction Overview</vt:lpstr>
      <vt:lpstr>2 · Sources &amp; Uses</vt:lpstr>
      <vt:lpstr>3 · Operating Model</vt:lpstr>
      <vt:lpstr>4 · Debt Schedule &amp; FCF</vt:lpstr>
      <vt:lpstr>5 · Returns &amp; Sensitivities</vt:lpstr>
      <vt:lpstr>'0 · Cover'!Print_Area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Yirviel Somé</cp:lastModifiedBy>
  <cp:revision>0</cp:revision>
  <dcterms:created xsi:type="dcterms:W3CDTF">2026-07-31T04:07:02Z</dcterms:created>
  <dcterms:modified xsi:type="dcterms:W3CDTF">2026-07-31T06:13:16Z</dcterms:modified>
  <dc:language>en-US</dc:language>
</cp:coreProperties>
</file>