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Y:\DOWNLOADS\"/>
    </mc:Choice>
  </mc:AlternateContent>
  <xr:revisionPtr revIDLastSave="0" documentId="8_{AFFDF93A-D8A6-4FBA-85A6-D637D7CC059F}" xr6:coauthVersionLast="47" xr6:coauthVersionMax="47" xr10:uidLastSave="{00000000-0000-0000-0000-000000000000}"/>
  <bookViews>
    <workbookView xWindow="-110" yWindow="-110" windowWidth="19420" windowHeight="10300" tabRatio="712" xr2:uid="{00000000-000D-0000-FFFF-FFFF00000000}"/>
  </bookViews>
  <sheets>
    <sheet name="Donnees historiques" sheetId="1" r:id="rId1"/>
    <sheet name="Hypothèses" sheetId="2" r:id="rId2"/>
    <sheet name="Compte de résultat" sheetId="3" r:id="rId3"/>
    <sheet name="Bilan" sheetId="4" r:id="rId4"/>
    <sheet name="TFT" sheetId="5" r:id="rId5"/>
    <sheet name="DCF" sheetId="6" r:id="rId6"/>
    <sheet name="Dashboard" sheetId="7" r:id="rId7"/>
  </sheets>
  <definedNames>
    <definedName name="_xlnm.Print_Area" localSheetId="3">Bilan!$A$1:$G$69</definedName>
    <definedName name="_xlnm.Print_Area" localSheetId="2">'Compte de résultat'!$A$1:$G$65</definedName>
    <definedName name="_xlnm.Print_Area" localSheetId="6">Dashboard!$A$1:$R$54</definedName>
    <definedName name="_xlnm.Print_Area" localSheetId="5">DCF!$A$1:$J$96</definedName>
    <definedName name="_xlnm.Print_Area" localSheetId="0">'Donnees historiques'!$A$1:$F$131</definedName>
    <definedName name="_xlnm.Print_Area" localSheetId="1">Hypothèses!$A$1:$I$57</definedName>
    <definedName name="_xlnm.Print_Area" localSheetId="4">TFT!$A$1:$G$38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0" i="6" l="1"/>
  <c r="E60" i="6"/>
  <c r="F60" i="6"/>
  <c r="G60" i="6"/>
  <c r="D61" i="6"/>
  <c r="E61" i="6"/>
  <c r="F61" i="6"/>
  <c r="G61" i="6"/>
  <c r="D62" i="6"/>
  <c r="E62" i="6"/>
  <c r="F62" i="6"/>
  <c r="G62" i="6"/>
  <c r="D63" i="6"/>
  <c r="E63" i="6"/>
  <c r="F63" i="6"/>
  <c r="G63" i="6"/>
  <c r="D64" i="6"/>
  <c r="E64" i="6"/>
  <c r="F64" i="6"/>
  <c r="G64" i="6"/>
  <c r="C61" i="6"/>
  <c r="C62" i="6"/>
  <c r="C63" i="6"/>
  <c r="C64" i="6"/>
  <c r="N42" i="7"/>
  <c r="M42" i="7"/>
  <c r="L42" i="7"/>
  <c r="K42" i="7"/>
  <c r="J42" i="7"/>
  <c r="I42" i="7"/>
  <c r="H42" i="7"/>
  <c r="G42" i="7"/>
  <c r="F42" i="7"/>
  <c r="N41" i="7"/>
  <c r="M41" i="7"/>
  <c r="L41" i="7"/>
  <c r="K41" i="7"/>
  <c r="J41" i="7"/>
  <c r="I41" i="7"/>
  <c r="H41" i="7"/>
  <c r="G41" i="7"/>
  <c r="F41" i="7"/>
  <c r="F20" i="7"/>
  <c r="F19" i="7"/>
  <c r="F18" i="7"/>
  <c r="F17" i="7"/>
  <c r="M12" i="7"/>
  <c r="L12" i="7"/>
  <c r="K12" i="7"/>
  <c r="J12" i="7"/>
  <c r="I12" i="7"/>
  <c r="H12" i="7"/>
  <c r="G12" i="7"/>
  <c r="F12" i="7"/>
  <c r="N7" i="7"/>
  <c r="M7" i="7"/>
  <c r="L7" i="7"/>
  <c r="K7" i="7"/>
  <c r="J7" i="7"/>
  <c r="I7" i="7"/>
  <c r="H7" i="7"/>
  <c r="G7" i="7"/>
  <c r="F7" i="7"/>
  <c r="N6" i="7"/>
  <c r="M6" i="7"/>
  <c r="L6" i="7"/>
  <c r="K6" i="7"/>
  <c r="J6" i="7"/>
  <c r="I6" i="7"/>
  <c r="H6" i="7"/>
  <c r="G6" i="7"/>
  <c r="F6" i="7"/>
  <c r="C19" i="7"/>
  <c r="C18" i="7"/>
  <c r="C17" i="7"/>
  <c r="C16" i="7"/>
  <c r="C15" i="7"/>
  <c r="C14" i="7"/>
  <c r="C13" i="7"/>
  <c r="C12" i="7"/>
  <c r="C11" i="7"/>
  <c r="C10" i="7"/>
  <c r="C9" i="7"/>
  <c r="C8" i="7"/>
  <c r="C7" i="7"/>
  <c r="C6" i="7"/>
  <c r="C5" i="7"/>
  <c r="C95" i="6"/>
  <c r="J44" i="6"/>
  <c r="J43" i="6"/>
  <c r="I43" i="6"/>
  <c r="H43" i="6"/>
  <c r="J92" i="6"/>
  <c r="C36" i="6" s="1"/>
  <c r="J91" i="6"/>
  <c r="I91" i="6"/>
  <c r="H91" i="6"/>
  <c r="J90" i="6"/>
  <c r="I90" i="6"/>
  <c r="H90" i="6"/>
  <c r="J89" i="6"/>
  <c r="I89" i="6"/>
  <c r="H89" i="6"/>
  <c r="J88" i="6"/>
  <c r="I88" i="6"/>
  <c r="I92" i="6" s="1"/>
  <c r="I44" i="6" s="1"/>
  <c r="H88" i="6"/>
  <c r="H92" i="6" s="1"/>
  <c r="J82" i="6"/>
  <c r="I82" i="6"/>
  <c r="I83" i="6" s="1"/>
  <c r="H82" i="6"/>
  <c r="J84" i="6"/>
  <c r="I84" i="6"/>
  <c r="H84" i="6"/>
  <c r="J83" i="6"/>
  <c r="J85" i="6" s="1"/>
  <c r="J86" i="6" s="1"/>
  <c r="H83" i="6"/>
  <c r="H85" i="6" s="1"/>
  <c r="H86" i="6" s="1"/>
  <c r="J81" i="6"/>
  <c r="I81" i="6"/>
  <c r="H81" i="6"/>
  <c r="J80" i="6"/>
  <c r="I80" i="6"/>
  <c r="H80" i="6"/>
  <c r="J79" i="6"/>
  <c r="I79" i="6"/>
  <c r="H79" i="6"/>
  <c r="C24" i="6"/>
  <c r="G59" i="6"/>
  <c r="F59" i="6"/>
  <c r="E59" i="6"/>
  <c r="D59" i="6"/>
  <c r="C59" i="6"/>
  <c r="C54" i="6"/>
  <c r="C51" i="6"/>
  <c r="C50" i="6"/>
  <c r="C31" i="6"/>
  <c r="C30" i="6"/>
  <c r="C29" i="6"/>
  <c r="C28" i="6"/>
  <c r="C25" i="6"/>
  <c r="C26" i="6" s="1"/>
  <c r="C27" i="6" s="1"/>
  <c r="C32" i="6" s="1"/>
  <c r="C23" i="6"/>
  <c r="C22" i="6"/>
  <c r="G13" i="6"/>
  <c r="F13" i="6"/>
  <c r="E13" i="6"/>
  <c r="D13" i="6"/>
  <c r="C13" i="6"/>
  <c r="G12" i="6"/>
  <c r="F12" i="6"/>
  <c r="G11" i="6"/>
  <c r="F11" i="6"/>
  <c r="E11" i="6"/>
  <c r="D11" i="6"/>
  <c r="C11" i="6"/>
  <c r="C9" i="6"/>
  <c r="C8" i="6"/>
  <c r="G7" i="6"/>
  <c r="F7" i="6"/>
  <c r="E7" i="6"/>
  <c r="D7" i="6"/>
  <c r="C7" i="6"/>
  <c r="C6" i="6"/>
  <c r="B29" i="5"/>
  <c r="B27" i="5"/>
  <c r="C26" i="5"/>
  <c r="B26" i="5"/>
  <c r="B24" i="5"/>
  <c r="B22" i="5"/>
  <c r="C20" i="5"/>
  <c r="B20" i="5"/>
  <c r="C18" i="5"/>
  <c r="B18" i="5"/>
  <c r="B16" i="5"/>
  <c r="F14" i="5"/>
  <c r="F16" i="5" s="1"/>
  <c r="B14" i="5"/>
  <c r="C12" i="5"/>
  <c r="B12" i="5"/>
  <c r="G10" i="5"/>
  <c r="F10" i="5"/>
  <c r="E10" i="5"/>
  <c r="D10" i="5"/>
  <c r="C10" i="5"/>
  <c r="B10" i="5"/>
  <c r="C8" i="5"/>
  <c r="B8" i="5"/>
  <c r="G7" i="5"/>
  <c r="F7" i="5"/>
  <c r="E7" i="5"/>
  <c r="D7" i="5"/>
  <c r="C7" i="5"/>
  <c r="B7" i="5"/>
  <c r="C6" i="5"/>
  <c r="B6" i="5"/>
  <c r="B44" i="4"/>
  <c r="B42" i="4"/>
  <c r="G40" i="4"/>
  <c r="F40" i="4"/>
  <c r="E40" i="4"/>
  <c r="D40" i="4"/>
  <c r="C40" i="4"/>
  <c r="B40" i="4"/>
  <c r="G38" i="4"/>
  <c r="F38" i="4"/>
  <c r="E38" i="4"/>
  <c r="D38" i="4"/>
  <c r="C38" i="4"/>
  <c r="B38" i="4"/>
  <c r="G37" i="4"/>
  <c r="F37" i="4"/>
  <c r="E37" i="4"/>
  <c r="D37" i="4"/>
  <c r="C37" i="4"/>
  <c r="B37" i="4"/>
  <c r="G36" i="4"/>
  <c r="F36" i="4"/>
  <c r="E36" i="4"/>
  <c r="D36" i="4"/>
  <c r="C36" i="4"/>
  <c r="B36" i="4"/>
  <c r="B34" i="4"/>
  <c r="G33" i="4"/>
  <c r="F33" i="4"/>
  <c r="E33" i="4"/>
  <c r="D33" i="4"/>
  <c r="C33" i="4"/>
  <c r="B33" i="4"/>
  <c r="G32" i="4"/>
  <c r="F32" i="4"/>
  <c r="E32" i="4"/>
  <c r="D32" i="4"/>
  <c r="C32" i="4"/>
  <c r="B32" i="4"/>
  <c r="B31" i="4"/>
  <c r="C29" i="4"/>
  <c r="B29" i="4"/>
  <c r="C28" i="4"/>
  <c r="B28" i="4"/>
  <c r="C27" i="4"/>
  <c r="B27" i="4"/>
  <c r="B23" i="4"/>
  <c r="B21" i="4"/>
  <c r="G19" i="4"/>
  <c r="F19" i="4"/>
  <c r="E19" i="4"/>
  <c r="D19" i="4"/>
  <c r="C19" i="4"/>
  <c r="B19" i="4"/>
  <c r="G18" i="4"/>
  <c r="F18" i="4"/>
  <c r="E18" i="4"/>
  <c r="D18" i="4"/>
  <c r="C18" i="4"/>
  <c r="B18" i="4"/>
  <c r="G17" i="4"/>
  <c r="F17" i="4"/>
  <c r="E17" i="4"/>
  <c r="D17" i="4"/>
  <c r="C17" i="4"/>
  <c r="B17" i="4"/>
  <c r="G16" i="4"/>
  <c r="F16" i="4"/>
  <c r="E16" i="4"/>
  <c r="D16" i="4"/>
  <c r="C16" i="4"/>
  <c r="B16" i="4"/>
  <c r="G15" i="4"/>
  <c r="F15" i="4"/>
  <c r="E15" i="4"/>
  <c r="D15" i="4"/>
  <c r="C15" i="4"/>
  <c r="B15" i="4"/>
  <c r="B13" i="4"/>
  <c r="G12" i="4"/>
  <c r="F12" i="4"/>
  <c r="E12" i="4"/>
  <c r="D12" i="4"/>
  <c r="C12" i="4"/>
  <c r="B12" i="4"/>
  <c r="G11" i="4"/>
  <c r="F11" i="4"/>
  <c r="E11" i="4"/>
  <c r="D11" i="4"/>
  <c r="C11" i="4"/>
  <c r="B11" i="4"/>
  <c r="G10" i="4"/>
  <c r="F10" i="4"/>
  <c r="E10" i="4"/>
  <c r="D10" i="4"/>
  <c r="C10" i="4"/>
  <c r="B10" i="4"/>
  <c r="B9" i="4"/>
  <c r="G8" i="4"/>
  <c r="F8" i="4"/>
  <c r="E8" i="4"/>
  <c r="D8" i="4"/>
  <c r="C8" i="4"/>
  <c r="B8" i="4"/>
  <c r="G7" i="4"/>
  <c r="F7" i="4"/>
  <c r="E7" i="4"/>
  <c r="D7" i="4"/>
  <c r="C7" i="4"/>
  <c r="B7" i="4"/>
  <c r="G6" i="4"/>
  <c r="F6" i="4"/>
  <c r="E6" i="4"/>
  <c r="D6" i="4"/>
  <c r="C6" i="4"/>
  <c r="B6" i="4"/>
  <c r="C61" i="4"/>
  <c r="C60" i="4"/>
  <c r="G59" i="4"/>
  <c r="F59" i="4"/>
  <c r="E59" i="4"/>
  <c r="D59" i="4"/>
  <c r="C59" i="4"/>
  <c r="G58" i="4"/>
  <c r="F58" i="4"/>
  <c r="E58" i="4"/>
  <c r="D58" i="4"/>
  <c r="C58" i="4"/>
  <c r="G57" i="4"/>
  <c r="F57" i="4"/>
  <c r="E57" i="4"/>
  <c r="D57" i="4"/>
  <c r="C57" i="4"/>
  <c r="B57" i="4"/>
  <c r="G56" i="4"/>
  <c r="G14" i="5" s="1"/>
  <c r="G16" i="5" s="1"/>
  <c r="F56" i="4"/>
  <c r="E56" i="4"/>
  <c r="E12" i="6" s="1"/>
  <c r="D56" i="4"/>
  <c r="D12" i="6" s="1"/>
  <c r="C56" i="4"/>
  <c r="C12" i="6" s="1"/>
  <c r="C15" i="6" s="1"/>
  <c r="B53" i="4"/>
  <c r="B52" i="4"/>
  <c r="B51" i="4"/>
  <c r="B50" i="4"/>
  <c r="B49" i="4"/>
  <c r="B48" i="4"/>
  <c r="C6" i="3"/>
  <c r="C42" i="3" s="1"/>
  <c r="G48" i="3"/>
  <c r="F48" i="3"/>
  <c r="E48" i="3"/>
  <c r="D48" i="3"/>
  <c r="C48" i="3"/>
  <c r="G47" i="3"/>
  <c r="F47" i="3"/>
  <c r="E47" i="3"/>
  <c r="D47" i="3"/>
  <c r="C47" i="3"/>
  <c r="G46" i="3"/>
  <c r="F46" i="3"/>
  <c r="E46" i="3"/>
  <c r="D46" i="3"/>
  <c r="C46" i="3"/>
  <c r="G45" i="3"/>
  <c r="F45" i="3"/>
  <c r="E45" i="3"/>
  <c r="D45" i="3"/>
  <c r="C45" i="3"/>
  <c r="B41" i="3"/>
  <c r="B40" i="3"/>
  <c r="B36" i="3"/>
  <c r="B34" i="3"/>
  <c r="B33" i="3"/>
  <c r="B31" i="3"/>
  <c r="B29" i="3"/>
  <c r="G28" i="3"/>
  <c r="F28" i="3"/>
  <c r="E28" i="3"/>
  <c r="D28" i="3"/>
  <c r="C28" i="3"/>
  <c r="B28" i="3"/>
  <c r="G27" i="3"/>
  <c r="F27" i="3"/>
  <c r="E27" i="3"/>
  <c r="D27" i="3"/>
  <c r="C27" i="3"/>
  <c r="B27" i="3"/>
  <c r="B25" i="3"/>
  <c r="B23" i="3"/>
  <c r="B21" i="3"/>
  <c r="G19" i="3"/>
  <c r="F19" i="3"/>
  <c r="E19" i="3"/>
  <c r="D19" i="3"/>
  <c r="C19" i="3"/>
  <c r="B19" i="3"/>
  <c r="B17" i="3"/>
  <c r="B15" i="3"/>
  <c r="B14" i="3"/>
  <c r="B13" i="3"/>
  <c r="B12" i="3"/>
  <c r="B11" i="3"/>
  <c r="B10" i="3"/>
  <c r="B39" i="3"/>
  <c r="B8" i="3"/>
  <c r="G7" i="3"/>
  <c r="F7" i="3"/>
  <c r="E7" i="3"/>
  <c r="D7" i="3"/>
  <c r="C7" i="3"/>
  <c r="B7" i="3"/>
  <c r="B6" i="3"/>
  <c r="C57" i="3"/>
  <c r="C56" i="3"/>
  <c r="C55" i="3"/>
  <c r="C54" i="3"/>
  <c r="C53" i="3"/>
  <c r="C52" i="3"/>
  <c r="D46" i="2"/>
  <c r="C46" i="2"/>
  <c r="D45" i="2"/>
  <c r="C45" i="2"/>
  <c r="B45" i="2"/>
  <c r="D44" i="2"/>
  <c r="C44" i="2"/>
  <c r="B44" i="2"/>
  <c r="D39" i="2"/>
  <c r="C39" i="2"/>
  <c r="B39" i="2"/>
  <c r="D38" i="2"/>
  <c r="C38" i="2"/>
  <c r="B38" i="2"/>
  <c r="D37" i="2"/>
  <c r="C37" i="2"/>
  <c r="B37" i="2"/>
  <c r="I33" i="2"/>
  <c r="H33" i="2"/>
  <c r="G33" i="2"/>
  <c r="F33" i="2"/>
  <c r="E33" i="2"/>
  <c r="D31" i="2"/>
  <c r="C31" i="2"/>
  <c r="B31" i="2"/>
  <c r="D30" i="2"/>
  <c r="C30" i="2"/>
  <c r="B30" i="2"/>
  <c r="I26" i="2"/>
  <c r="H26" i="2"/>
  <c r="G26" i="2"/>
  <c r="F26" i="2"/>
  <c r="E26" i="2"/>
  <c r="D24" i="2"/>
  <c r="C24" i="2"/>
  <c r="B24" i="2"/>
  <c r="D23" i="2"/>
  <c r="C23" i="2"/>
  <c r="B23" i="2"/>
  <c r="I19" i="2"/>
  <c r="H19" i="2"/>
  <c r="G19" i="2"/>
  <c r="F19" i="2"/>
  <c r="E19" i="2"/>
  <c r="D17" i="2"/>
  <c r="C17" i="2"/>
  <c r="B17" i="2"/>
  <c r="D16" i="2"/>
  <c r="C16" i="2"/>
  <c r="B16" i="2"/>
  <c r="I12" i="2"/>
  <c r="H12" i="2"/>
  <c r="G12" i="2"/>
  <c r="F12" i="2"/>
  <c r="E12" i="2"/>
  <c r="D10" i="2"/>
  <c r="D9" i="2"/>
  <c r="C9" i="2"/>
  <c r="D8" i="2"/>
  <c r="C8" i="2"/>
  <c r="B8" i="2"/>
  <c r="D110" i="1"/>
  <c r="C110" i="1"/>
  <c r="B110" i="1"/>
  <c r="D103" i="1"/>
  <c r="C103" i="1"/>
  <c r="B103" i="1"/>
  <c r="C98" i="1"/>
  <c r="C114" i="1" s="1"/>
  <c r="C118" i="1" s="1"/>
  <c r="C121" i="1" s="1"/>
  <c r="C123" i="1" s="1"/>
  <c r="D94" i="1"/>
  <c r="D98" i="1" s="1"/>
  <c r="D114" i="1" s="1"/>
  <c r="D118" i="1" s="1"/>
  <c r="D121" i="1" s="1"/>
  <c r="D123" i="1" s="1"/>
  <c r="C94" i="1"/>
  <c r="B94" i="1"/>
  <c r="B98" i="1" s="1"/>
  <c r="B114" i="1" s="1"/>
  <c r="B118" i="1" s="1"/>
  <c r="B121" i="1" s="1"/>
  <c r="B123" i="1" s="1"/>
  <c r="D82" i="1"/>
  <c r="D78" i="1"/>
  <c r="C78" i="1"/>
  <c r="B78" i="1"/>
  <c r="D74" i="1"/>
  <c r="C74" i="1"/>
  <c r="B74" i="1"/>
  <c r="D67" i="1"/>
  <c r="C67" i="1"/>
  <c r="C82" i="1" s="1"/>
  <c r="B67" i="1"/>
  <c r="B82" i="1" s="1"/>
  <c r="D58" i="1"/>
  <c r="D84" i="1" s="1"/>
  <c r="D54" i="1"/>
  <c r="C54" i="1"/>
  <c r="B54" i="1"/>
  <c r="D48" i="1"/>
  <c r="C48" i="1"/>
  <c r="C58" i="1" s="1"/>
  <c r="B48" i="1"/>
  <c r="B58" i="1" s="1"/>
  <c r="D15" i="1"/>
  <c r="C15" i="1"/>
  <c r="B15" i="1"/>
  <c r="D8" i="1"/>
  <c r="D17" i="1" s="1"/>
  <c r="D21" i="1" s="1"/>
  <c r="D25" i="1" s="1"/>
  <c r="D31" i="1" s="1"/>
  <c r="D36" i="1" s="1"/>
  <c r="C8" i="1"/>
  <c r="C17" i="1" s="1"/>
  <c r="C21" i="1" s="1"/>
  <c r="C25" i="1" s="1"/>
  <c r="C31" i="1" s="1"/>
  <c r="C36" i="1" s="1"/>
  <c r="B8" i="1"/>
  <c r="B17" i="1" s="1"/>
  <c r="B21" i="1" s="1"/>
  <c r="B25" i="1" s="1"/>
  <c r="B31" i="1" s="1"/>
  <c r="B36" i="1" s="1"/>
  <c r="C60" i="6" l="1"/>
  <c r="H44" i="6"/>
  <c r="C47" i="6" s="1"/>
  <c r="I85" i="6"/>
  <c r="I86" i="6" s="1"/>
  <c r="B61" i="6"/>
  <c r="E43" i="6"/>
  <c r="G43" i="6"/>
  <c r="F43" i="6"/>
  <c r="B64" i="6"/>
  <c r="B60" i="6"/>
  <c r="D43" i="6"/>
  <c r="B63" i="6"/>
  <c r="C43" i="6"/>
  <c r="B62" i="6"/>
  <c r="C44" i="6"/>
  <c r="E14" i="5"/>
  <c r="E16" i="5" s="1"/>
  <c r="D14" i="5"/>
  <c r="D16" i="5" s="1"/>
  <c r="C14" i="5"/>
  <c r="C16" i="5" s="1"/>
  <c r="C24" i="5" s="1"/>
  <c r="C27" i="5" s="1"/>
  <c r="C9" i="4"/>
  <c r="C21" i="4"/>
  <c r="C8" i="3"/>
  <c r="C14" i="3"/>
  <c r="D6" i="3"/>
  <c r="C39" i="3"/>
  <c r="B84" i="1"/>
  <c r="C84" i="1"/>
  <c r="D9" i="4" l="1"/>
  <c r="C13" i="4"/>
  <c r="C23" i="4" s="1"/>
  <c r="D26" i="5"/>
  <c r="C29" i="5"/>
  <c r="C13" i="3"/>
  <c r="C11" i="3"/>
  <c r="C40" i="3"/>
  <c r="C12" i="3"/>
  <c r="C10" i="3"/>
  <c r="E6" i="3"/>
  <c r="D42" i="3"/>
  <c r="D39" i="3"/>
  <c r="D14" i="3"/>
  <c r="D8" i="3"/>
  <c r="C31" i="4" l="1"/>
  <c r="D13" i="4"/>
  <c r="E9" i="4"/>
  <c r="D13" i="3"/>
  <c r="D11" i="3"/>
  <c r="D12" i="3"/>
  <c r="D10" i="3"/>
  <c r="D15" i="3" s="1"/>
  <c r="D17" i="3" s="1"/>
  <c r="D6" i="6" s="1"/>
  <c r="D40" i="3"/>
  <c r="E14" i="3"/>
  <c r="E8" i="3"/>
  <c r="E42" i="3"/>
  <c r="E39" i="3"/>
  <c r="F6" i="3"/>
  <c r="C15" i="3"/>
  <c r="C17" i="3" s="1"/>
  <c r="E13" i="4" l="1"/>
  <c r="F9" i="4"/>
  <c r="C34" i="4"/>
  <c r="C42" i="4" s="1"/>
  <c r="C44" i="4" s="1"/>
  <c r="C22" i="5"/>
  <c r="D8" i="6"/>
  <c r="D9" i="6" s="1"/>
  <c r="D15" i="6" s="1"/>
  <c r="D41" i="3"/>
  <c r="D21" i="3"/>
  <c r="D25" i="3" s="1"/>
  <c r="C41" i="3"/>
  <c r="C21" i="3"/>
  <c r="C25" i="3" s="1"/>
  <c r="F42" i="3"/>
  <c r="F39" i="3"/>
  <c r="F8" i="3"/>
  <c r="G6" i="3"/>
  <c r="F14" i="3"/>
  <c r="E12" i="3"/>
  <c r="E10" i="3"/>
  <c r="E15" i="3" s="1"/>
  <c r="E17" i="3" s="1"/>
  <c r="E6" i="6" s="1"/>
  <c r="E40" i="3"/>
  <c r="E13" i="3"/>
  <c r="E11" i="3"/>
  <c r="G9" i="4" l="1"/>
  <c r="G13" i="4" s="1"/>
  <c r="F13" i="4"/>
  <c r="E8" i="6"/>
  <c r="E9" i="6" s="1"/>
  <c r="E15" i="6" s="1"/>
  <c r="D44" i="6"/>
  <c r="E21" i="3"/>
  <c r="E25" i="3" s="1"/>
  <c r="E41" i="3"/>
  <c r="F40" i="3"/>
  <c r="F13" i="3"/>
  <c r="F11" i="3"/>
  <c r="F12" i="3"/>
  <c r="F10" i="3"/>
  <c r="D29" i="3"/>
  <c r="D31" i="3"/>
  <c r="G42" i="3"/>
  <c r="G39" i="3"/>
  <c r="G14" i="3"/>
  <c r="G8" i="3"/>
  <c r="C29" i="3"/>
  <c r="C31" i="3" s="1"/>
  <c r="F15" i="3" l="1"/>
  <c r="F17" i="3" s="1"/>
  <c r="F6" i="6" s="1"/>
  <c r="E44" i="6"/>
  <c r="D60" i="4"/>
  <c r="D18" i="5" s="1"/>
  <c r="D20" i="5" s="1"/>
  <c r="D27" i="4"/>
  <c r="D61" i="4"/>
  <c r="D21" i="4" s="1"/>
  <c r="D6" i="5"/>
  <c r="D8" i="5" s="1"/>
  <c r="D12" i="5" s="1"/>
  <c r="D24" i="5" s="1"/>
  <c r="D27" i="5" s="1"/>
  <c r="F21" i="3"/>
  <c r="F25" i="3" s="1"/>
  <c r="F41" i="3"/>
  <c r="C33" i="3"/>
  <c r="C34" i="3"/>
  <c r="G13" i="3"/>
  <c r="G11" i="3"/>
  <c r="G40" i="3"/>
  <c r="G12" i="3"/>
  <c r="G10" i="3"/>
  <c r="D33" i="3"/>
  <c r="D34" i="3"/>
  <c r="E29" i="3"/>
  <c r="E31" i="3" s="1"/>
  <c r="F8" i="6" l="1"/>
  <c r="F9" i="6" s="1"/>
  <c r="F15" i="6" s="1"/>
  <c r="E6" i="5"/>
  <c r="E8" i="5" s="1"/>
  <c r="E12" i="5" s="1"/>
  <c r="E61" i="4"/>
  <c r="E60" i="4"/>
  <c r="E18" i="5" s="1"/>
  <c r="E20" i="5" s="1"/>
  <c r="E26" i="5"/>
  <c r="D29" i="5"/>
  <c r="D28" i="4"/>
  <c r="D29" i="4" s="1"/>
  <c r="E27" i="4"/>
  <c r="D23" i="4"/>
  <c r="E21" i="4"/>
  <c r="E33" i="3"/>
  <c r="E34" i="3"/>
  <c r="C36" i="3"/>
  <c r="D36" i="3"/>
  <c r="G15" i="3"/>
  <c r="G17" i="3" s="1"/>
  <c r="G6" i="6" s="1"/>
  <c r="F29" i="3"/>
  <c r="F31" i="3" s="1"/>
  <c r="G8" i="6" l="1"/>
  <c r="G9" i="6" s="1"/>
  <c r="G15" i="6" s="1"/>
  <c r="F44" i="6"/>
  <c r="F61" i="4"/>
  <c r="F21" i="4" s="1"/>
  <c r="F60" i="4"/>
  <c r="F18" i="5" s="1"/>
  <c r="F20" i="5" s="1"/>
  <c r="F6" i="5"/>
  <c r="F8" i="5" s="1"/>
  <c r="F12" i="5" s="1"/>
  <c r="E24" i="5"/>
  <c r="E27" i="5" s="1"/>
  <c r="E23" i="4"/>
  <c r="D31" i="4"/>
  <c r="E28" i="4"/>
  <c r="E29" i="4"/>
  <c r="F33" i="3"/>
  <c r="G41" i="3"/>
  <c r="G21" i="3"/>
  <c r="G25" i="3" s="1"/>
  <c r="E36" i="3"/>
  <c r="C37" i="6" l="1"/>
  <c r="G44" i="6"/>
  <c r="F27" i="4"/>
  <c r="F29" i="4" s="1"/>
  <c r="F24" i="5"/>
  <c r="F26" i="5"/>
  <c r="E29" i="5"/>
  <c r="E31" i="4"/>
  <c r="D34" i="4"/>
  <c r="D42" i="4" s="1"/>
  <c r="D44" i="4" s="1"/>
  <c r="D22" i="5"/>
  <c r="F28" i="4"/>
  <c r="F23" i="4"/>
  <c r="G29" i="3"/>
  <c r="G31" i="3" s="1"/>
  <c r="F34" i="3"/>
  <c r="F36" i="3" s="1"/>
  <c r="C48" i="6" l="1"/>
  <c r="C49" i="6" s="1"/>
  <c r="C52" i="6" s="1"/>
  <c r="C55" i="6" s="1"/>
  <c r="C57" i="6" s="1"/>
  <c r="C38" i="6"/>
  <c r="F27" i="5"/>
  <c r="G61" i="4"/>
  <c r="G6" i="5"/>
  <c r="G8" i="5" s="1"/>
  <c r="G12" i="5" s="1"/>
  <c r="G60" i="4"/>
  <c r="G18" i="5" s="1"/>
  <c r="G20" i="5" s="1"/>
  <c r="G27" i="4"/>
  <c r="G28" i="4" s="1"/>
  <c r="G29" i="4" s="1"/>
  <c r="E34" i="4"/>
  <c r="E42" i="4" s="1"/>
  <c r="E44" i="4" s="1"/>
  <c r="E22" i="5"/>
  <c r="F31" i="4"/>
  <c r="G33" i="3"/>
  <c r="C96" i="6" l="1"/>
  <c r="F29" i="5"/>
  <c r="G26" i="5"/>
  <c r="G24" i="5"/>
  <c r="G21" i="4"/>
  <c r="G23" i="4" s="1"/>
  <c r="G31" i="4" s="1"/>
  <c r="G34" i="4" s="1"/>
  <c r="G42" i="4" s="1"/>
  <c r="G44" i="4" s="1"/>
  <c r="F34" i="4"/>
  <c r="F42" i="4" s="1"/>
  <c r="F44" i="4" s="1"/>
  <c r="F22" i="5"/>
  <c r="G34" i="3"/>
  <c r="G36" i="3" s="1"/>
  <c r="G27" i="5" l="1"/>
  <c r="G22" i="5"/>
  <c r="G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Yirviel Somé</author>
  </authors>
  <commentList>
    <comment ref="C19" authorId="0" shapeId="0" xr:uid="{01464871-70C3-4154-9D74-5F8114ACBF1D}">
      <text>
        <r>
          <rPr>
            <b/>
            <sz val="9"/>
            <color indexed="81"/>
            <rFont val="Tahoma"/>
            <family val="2"/>
          </rPr>
          <t>Yirviel Somé:</t>
        </r>
        <r>
          <rPr>
            <sz val="9"/>
            <color indexed="81"/>
            <rFont val="Tahoma"/>
            <family val="2"/>
          </rPr>
          <t xml:space="preserve">
Source: Direction générale du Trésor (France), Brèves économiques Maroc, 30 mars 2026 — rendement des obligations d'État marocaines à 10 ans à 3,4% (en hausse depuis 3% au 2 mars 2026). https://www.tresor.economie.gouv.fr/Articles/f49c9d36-76df-476f-abcd-43a6d37c6a16</t>
        </r>
      </text>
    </comment>
    <comment ref="C20" authorId="0" shapeId="0" xr:uid="{0312627D-FBD8-4645-8108-0DF1AA4650B9}">
      <text>
        <r>
          <rPr>
            <b/>
            <sz val="9"/>
            <color indexed="81"/>
            <rFont val="Tahoma"/>
            <family val="2"/>
          </rPr>
          <t>Yirviel Somé:</t>
        </r>
        <r>
          <rPr>
            <sz val="9"/>
            <color indexed="81"/>
            <rFont val="Tahoma"/>
            <family val="2"/>
          </rPr>
          <t xml:space="preserve">
Source: Damodaran Online (NYU Stern), Unlevered Beta by Industry Sector, secteur 'Hospitals/Healthcare Facilities', jeu de données janvier 2026 (32 sociétés, bêta levé moyen 0,88, D/E 79,7%, bêta non levé 0,55). Utilisé en approche 'bottom-up beta' faute de comparables cotés marocains suffisants.</t>
        </r>
      </text>
    </comment>
    <comment ref="C21" authorId="0" shapeId="0" xr:uid="{C9A3D6C6-AABB-4217-BF61-831751FCAFC5}">
      <text>
        <r>
          <rPr>
            <b/>
            <sz val="9"/>
            <color indexed="81"/>
            <rFont val="Tahoma"/>
            <family val="2"/>
          </rPr>
          <t>Yirviel Somé:</t>
        </r>
        <r>
          <rPr>
            <sz val="9"/>
            <color indexed="81"/>
            <rFont val="Tahoma"/>
            <family val="2"/>
          </rPr>
          <t xml:space="preserve">
Estimation raisonnée : ERP marché mature ≈ 4,33% (Damodaran, Country Risk Premium dataset, janvier 2026, taux de référence pays AAA sans prime de défaut) + prime pays Maroc ≈ 2,2 pts, reflétant la notation souveraine BBB- confirmée par S&amp;P Global Ratings le 27 mars 2026 (investment grade). Le tableau Damodaran spécifique au Maroc n'a pas pu être extrait avec précision lors de la recherche (une ligne obsolète trouvée reflétait l'ancienne notation Ba1, antérieure au relevèment). A ajuster si vous disposez d'un chiffre Damodaran Maroc plus précis et à jour.</t>
        </r>
      </text>
    </comment>
    <comment ref="C35" authorId="0" shapeId="0" xr:uid="{A2DB0E41-CE9D-44D2-B439-3F8F4756E07B}">
      <text>
        <r>
          <rPr>
            <b/>
            <sz val="9"/>
            <color indexed="81"/>
            <rFont val="Tahoma"/>
            <family val="2"/>
          </rPr>
          <t>Yirviel Somé:</t>
        </r>
        <r>
          <rPr>
            <sz val="9"/>
            <color indexed="81"/>
            <rFont val="Tahoma"/>
            <family val="2"/>
          </rPr>
          <t xml:space="preserve">
Hypothèse : 2,5%, volontairement inférieure au taux sans risque (3,4%) et au WACC, par prudence méthodologique standard en DCF. Justification : croissance nominale de long terme raisonnable pour l'économie marocaine (croissance réelle potentielle ~3-4% + inflation cible BAM ~1,5-2%, mais on retient un taux prudent proche du sans-risque plutôt que la croissance conjoncturelle 2025-2026 ~4,8-5,6% qui est temporaire, post-sécheresse agricole). Source contexte : Bank Al-Maghrib / Tradingeconomics, prévisions de croissance et d'inflation Maroc 2026-2027.</t>
        </r>
      </text>
    </comment>
    <comment ref="C53" authorId="0" shapeId="0" xr:uid="{45B639FB-F2FD-4939-87EF-1FE437EC6E5C}">
      <text>
        <r>
          <rPr>
            <b/>
            <sz val="9"/>
            <color indexed="81"/>
            <rFont val="Tahoma"/>
            <family val="2"/>
          </rPr>
          <t>Yirviel Somé:</t>
        </r>
        <r>
          <rPr>
            <sz val="9"/>
            <color indexed="81"/>
            <rFont val="Tahoma"/>
            <family val="2"/>
          </rPr>
          <t xml:space="preserve">
Source : valeur nominale de 10 MAD/action, déduite du capital social 2023 (126 666 700 MAD) / nombre d'actions pre-IPO capital increase (12 666 670 actions), cité dans la note d'opération Akdital relative à l'augmentation de capital 2024 (Bourse de Casablanca, media.casablanca-bourse.com, 24/06/2024).</t>
        </r>
      </text>
    </comment>
    <comment ref="C56" authorId="0" shapeId="0" xr:uid="{549CA701-EF52-47AC-A885-4B22F4942ED1}">
      <text>
        <r>
          <rPr>
            <b/>
            <sz val="9"/>
            <color indexed="81"/>
            <rFont val="Tahoma"/>
            <family val="2"/>
          </rPr>
          <t>Yirviel Somé:</t>
        </r>
        <r>
          <rPr>
            <sz val="9"/>
            <color indexed="81"/>
            <rFont val="Tahoma"/>
            <family val="2"/>
          </rPr>
          <t xml:space="preserve">
Source : Investing.com, cotation AKT (Bourse de Casablanca), cours de clôture 1 170,00 MAD au 4 juin 2026. https://www.investing.com/equities/akdital</t>
        </r>
      </text>
    </comment>
    <comment ref="H78" authorId="0" shapeId="0" xr:uid="{7EEC0937-26A9-4853-B3B6-FF3DB14076A8}">
      <text>
        <r>
          <rPr>
            <b/>
            <sz val="9"/>
            <color indexed="81"/>
            <rFont val="Tahoma"/>
            <family val="2"/>
          </rPr>
          <t>Yirviel Somé:</t>
        </r>
        <r>
          <rPr>
            <sz val="9"/>
            <color indexed="81"/>
            <rFont val="Tahoma"/>
            <family val="2"/>
          </rPr>
          <t xml:space="preserve">
Hypothèse : poursuite de la décélération amorcée en 2026-2030 (15%→12%), cohérente avec le CAGR 2024-2030 de 24,5% communiqué par CFG Bank qui implique une croissance encore élevée autour de 2030-2031, pas un arrêt brutal.</t>
        </r>
      </text>
    </comment>
    <comment ref="H87" authorId="0" shapeId="0" xr:uid="{12B3C04F-4507-4D8C-A824-0A9401955D7F}">
      <text>
        <r>
          <rPr>
            <b/>
            <sz val="9"/>
            <color indexed="81"/>
            <rFont val="Tahoma"/>
            <family val="2"/>
          </rPr>
          <t>Révisé : le capex ne peut pas converger vers le seul niveau d'entretien (~D&amp;A) tant que le CA croît encore à 12%→5% — une part de capex de croissance subsiste (nouvelles capacités, volet international en cours jusqu'en 2029-2030). Hypothèse : maintenance (~9,9% D&amp;A) + capex de croissance proportionnel au taux de croissance du CA.</t>
        </r>
      </text>
    </comment>
  </commentList>
</comments>
</file>

<file path=xl/sharedStrings.xml><?xml version="1.0" encoding="utf-8"?>
<sst xmlns="http://schemas.openxmlformats.org/spreadsheetml/2006/main" count="393" uniqueCount="322">
  <si>
    <t>AKDITAL S.A. — Données historiques consolidées (2023-2025)</t>
  </si>
  <si>
    <t>Source : Rapports financiers annuels Akdital, Bourse de Casablanca. Chaque année = colonne "année en cours" du rapport correspondant (jamais une colonne comparative).</t>
  </si>
  <si>
    <t>COMPTE DE RÉSULTAT CONSOLIDÉ</t>
  </si>
  <si>
    <t>Montants en dirhams (MAD)</t>
  </si>
  <si>
    <t>2023</t>
  </si>
  <si>
    <t>2024</t>
  </si>
  <si>
    <t>2025</t>
  </si>
  <si>
    <t>Chiffre d'affaires</t>
  </si>
  <si>
    <t>Autres produits d'exploitation</t>
  </si>
  <si>
    <t>Produits d'exploitation (I)</t>
  </si>
  <si>
    <t>Achats et autres charges externes</t>
  </si>
  <si>
    <t>Impôts et taxes</t>
  </si>
  <si>
    <t>Charges de personnel</t>
  </si>
  <si>
    <t>Autres charges d'exploitation</t>
  </si>
  <si>
    <t>Dotations d'exploitation, nettes des reprises et TC</t>
  </si>
  <si>
    <t>Charges d'exploitation (II)</t>
  </si>
  <si>
    <t>RÉSULTAT D'EXPLOITATION (III = I + II)</t>
  </si>
  <si>
    <t>Résultat financier (VI)</t>
  </si>
  <si>
    <t>RÉSULTAT COURANT (VII = III + VI)</t>
  </si>
  <si>
    <t>Résultat non courant (X)</t>
  </si>
  <si>
    <t>RÉSULTAT AVANT IMPÔTS (XI = VII + X)</t>
  </si>
  <si>
    <t>Dotations aux amortissements des écarts d'acquisition</t>
  </si>
  <si>
    <t>Quote-part de résultat des sociétés mises en équivalence</t>
  </si>
  <si>
    <t>2025 : non communiqué séparément dans le rapport — supposé nul, à vérifier</t>
  </si>
  <si>
    <t>Impôt sur les bénéfices</t>
  </si>
  <si>
    <t>RÉSULTAT NET DE L'ENSEMBLE CONSOLIDÉ</t>
  </si>
  <si>
    <t>Résultat net — part du groupe</t>
  </si>
  <si>
    <t>Intérêts minoritaires</t>
  </si>
  <si>
    <t>Contrôle CR (part groupe + minoritaires - résultat net conso., doit être 0)</t>
  </si>
  <si>
    <t>BILAN CONSOLIDÉ — ACTIF</t>
  </si>
  <si>
    <t>Écart d'acquisition</t>
  </si>
  <si>
    <t>Immobilisations en non valeurs</t>
  </si>
  <si>
    <t>Immobilisations incorporelles</t>
  </si>
  <si>
    <t>Immobilisations corporelles</t>
  </si>
  <si>
    <t>Titres mis en équivalence</t>
  </si>
  <si>
    <t>2024-2025 : plus de titres en équivalence distincts dans le rapport</t>
  </si>
  <si>
    <t>Immobilisations financières</t>
  </si>
  <si>
    <t>Impôts différés actifs</t>
  </si>
  <si>
    <t>Actif immobilisé</t>
  </si>
  <si>
    <t>Stocks et en-cours</t>
  </si>
  <si>
    <t>Clients et comptes rattachés</t>
  </si>
  <si>
    <t>Autres créances</t>
  </si>
  <si>
    <t>Titres et valeurs de placement</t>
  </si>
  <si>
    <t>Actif circulant (hors trésorerie)</t>
  </si>
  <si>
    <t>Trésorerie — actif</t>
  </si>
  <si>
    <t>TOTAL ACTIF</t>
  </si>
  <si>
    <t>BILAN CONSOLIDÉ — PASSIF</t>
  </si>
  <si>
    <t>Capital</t>
  </si>
  <si>
    <t>Primes d'émission, de fusion, d'apport</t>
  </si>
  <si>
    <t>Réserves consolidées</t>
  </si>
  <si>
    <t>Résultat consolidé</t>
  </si>
  <si>
    <t>Capitaux propres de l'ensemble consolidé</t>
  </si>
  <si>
    <t xml:space="preserve">  dont : capitaux propres — part du groupe (mémo)</t>
  </si>
  <si>
    <t xml:space="preserve">  dont : intérêts minoritaires (mémo)</t>
  </si>
  <si>
    <t>Dettes de financement</t>
  </si>
  <si>
    <t>Provisions pour risques et charges</t>
  </si>
  <si>
    <t>Impôts différés passifs</t>
  </si>
  <si>
    <t>Passif à long terme</t>
  </si>
  <si>
    <t>Fournisseurs et comptes rattachés</t>
  </si>
  <si>
    <t>Autres dettes</t>
  </si>
  <si>
    <t>Passif circulant</t>
  </si>
  <si>
    <t>Trésorerie — passif</t>
  </si>
  <si>
    <t>TOTAL PASSIF</t>
  </si>
  <si>
    <t>Contrôle bilan (Actif - Passif, doit être 0)</t>
  </si>
  <si>
    <t>TABLEAU DE FLUX DE TRÉSORERIE CONSOLIDÉ</t>
  </si>
  <si>
    <t>Résultat net de l'ensemble consolidé</t>
  </si>
  <si>
    <t>Élimination des amortissements et provisions</t>
  </si>
  <si>
    <t>2023 : reconstitué à partir du détail des dotations du rapport 2023 pour homogénéité avec 2024-2025</t>
  </si>
  <si>
    <t>Élimination de la variation des impôts différés</t>
  </si>
  <si>
    <t>Élimination des plus ou moins-values de cession</t>
  </si>
  <si>
    <t>Élimination de la quote-part de résultat des mises en équivalence</t>
  </si>
  <si>
    <t>Capacité d'autofinancement / Marge brute d'autofinancement</t>
  </si>
  <si>
    <t>Variation du besoin en fonds de roulement (BFR)</t>
  </si>
  <si>
    <t>FLUX NET DE TRÉSORERIE GÉNÉRÉ PAR L'ACTIVITÉ</t>
  </si>
  <si>
    <t>Acquisition d'immobilisations</t>
  </si>
  <si>
    <t>2023 : total investissement du rapport (incorporelles + corporelles + financières)</t>
  </si>
  <si>
    <t>Cession d'immobilisations</t>
  </si>
  <si>
    <t>Incidence des variations de périmètre</t>
  </si>
  <si>
    <t>FLUX NET DE TRÉSORERIE LIÉ AUX OPÉRATIONS D'INVESTISSEMENT</t>
  </si>
  <si>
    <t>Dividendes versés par la société mère</t>
  </si>
  <si>
    <t>Dividendes versés aux minoritaires</t>
  </si>
  <si>
    <t>Augmentations de capital</t>
  </si>
  <si>
    <t>Émission d'emprunts LT, nettes des remboursements</t>
  </si>
  <si>
    <t>Variation des dettes fournisseurs d'immobilisation</t>
  </si>
  <si>
    <t>FLUX NET DE TRÉSORERIE LIÉ AUX OPÉRATIONS DE FINANCEMENT</t>
  </si>
  <si>
    <t>Incidence de la variation des taux de change</t>
  </si>
  <si>
    <t>Variation de trésorerie — hors titres et valeurs de placement (TVP)</t>
  </si>
  <si>
    <t>Titres et valeurs de placement (variation)</t>
  </si>
  <si>
    <t>Ligne apparue à partir de 2024 (placements de trésorerie) — absente du rapport 2023</t>
  </si>
  <si>
    <t>VARIATION DE TRÉSORERIE — AVEC TVP</t>
  </si>
  <si>
    <t>Trésorerie d'ouverture</t>
  </si>
  <si>
    <t>Trésorerie de clôture</t>
  </si>
  <si>
    <t>Contrôle TFT (clôture calculée vs. clôture publiée)</t>
  </si>
  <si>
    <t>NOTES ET SOURCES</t>
  </si>
  <si>
    <t>• Source : Rapports financiers annuels consolidés d'Akdital S.A. (exercices 2023, 2024, 2025), Bourse de Casablanca / akdital.ma.</t>
  </si>
  <si>
    <t>• Méthode : pour chaque exercice, les montants proviennent de la colonne "année en cours" du rapport correspondant, jamais d'une colonne comparative d'un rapport ultérieur (évite les écarts de reclassement).</t>
  </si>
  <si>
    <t>• Points vérifiés : les cellules de contrôle (CR, Bilan, TFT) ci-dessus sont à 0 (ou à l'arrondi du dirham près) — les trois états sont cohérents entre eux.</t>
  </si>
  <si>
    <t>• Point notable : au 31/12/2025, la trésorerie nette du groupe (actif - passif) est négative (-245 MDH), la dette court terme dépassant la trésorerie disponible.</t>
  </si>
  <si>
    <t>• Cellules en bleu = données saisies (source rapports). Cellules en noir = formules qui recalculent automatiquement les sous-totaux.</t>
  </si>
  <si>
    <t>AKDITAL S.A. — Hypothèses de projection 2026-2030</t>
  </si>
  <si>
    <t>Ancrées sur les tendances observées dans l'historique 2023-2025 (onglet 'Donnees historiques'). Bleu = hypothèse modifiable · Noir = calcul · Vert = lien vers un autre onglet.</t>
  </si>
  <si>
    <t>Historique (lien)</t>
  </si>
  <si>
    <t>Projection (hypothèses)</t>
  </si>
  <si>
    <t>1. MOTEURS DE CROISSANCE — CHIFFRE D'AFFAIRES</t>
  </si>
  <si>
    <t>Chiffre d'affaires (MAD)</t>
  </si>
  <si>
    <t>Croissance CA observée (%)</t>
  </si>
  <si>
    <t>CAGR 2023-2025 (%)</t>
  </si>
  <si>
    <t>Croissance CA projetée (hypothèse, %)</t>
  </si>
  <si>
    <t>Chiffre d'affaires projeté (MAD)</t>
  </si>
  <si>
    <t>Note : décélération progressive vs CAGR historique 52% — objectif 62 étab./6 200 lits Maroc fin 2027 (contre 41/4 505 fin 2025) puis rythme d'ouverture plus mesuré + montée en puissance de l'international à partir de 2028.</t>
  </si>
  <si>
    <t>2. MARGE EBITDA CIBLE</t>
  </si>
  <si>
    <t>EBITDA (MAD) = Résultat d'exploitation + Dotations d'exploitation</t>
  </si>
  <si>
    <t>Marge EBITDA historique (%)</t>
  </si>
  <si>
    <t>Marge EBITDA cible projetée (hypothèse, %)</t>
  </si>
  <si>
    <t>EBITDA projeté (MAD)</t>
  </si>
  <si>
    <t>Note : dilution 2025 (27,5% vs 28,4%) liée à la montée en charge des nouvelles cliniques (cycle de plusieurs trimestres) ; légère remontée attendue avec la maturation du parc et l'effet d'échelle.</t>
  </si>
  <si>
    <t>3. BESOIN EN FONDS DE ROULEMENT (BFR) EN % DU CA</t>
  </si>
  <si>
    <t>BFR historique (MAD) = (Stocks+Clients+Autres créances) − (Fournisseurs+Autres dettes)</t>
  </si>
  <si>
    <t>BFR historique en % du CA</t>
  </si>
  <si>
    <t>BFR cible projeté (hypothèse, % du CA)</t>
  </si>
  <si>
    <t>BFR projeté (MAD)</t>
  </si>
  <si>
    <t>Note : le BFR (stock) passe de fortement négatif (financé par les fournisseurs, -16,7%/-24,1% du CA en 2023-24) à positif (+4,4% en 2025) — hausse des créances clients liée à la montée en charge du réseau et aux cycles de remboursement assurance/CNSS. Hypothèse : stabilisation autour de 5-6% avec l'expansion internationale.</t>
  </si>
  <si>
    <t>4. CAPEX EN % DU CA</t>
  </si>
  <si>
    <t>Capex historique (acquisitions d'immobilisations, MAD)</t>
  </si>
  <si>
    <t>Capex historique en % du CA</t>
  </si>
  <si>
    <t>Capex cible projeté (hypothèse, % du CA)</t>
  </si>
  <si>
    <t>Capex projeté (MAD)</t>
  </si>
  <si>
    <t>5. TAUX D'IMPOSITION MAROCAIN</t>
  </si>
  <si>
    <t>Résultat avant impôts historique (MAD)</t>
  </si>
  <si>
    <t>Impôt sur les bénéfices historique (MAD)</t>
  </si>
  <si>
    <t>Taux d'imposition effectif historique (%)</t>
  </si>
  <si>
    <t>Taux d'imposition cible projeté (hypothèse, %)</t>
  </si>
  <si>
    <t>Note : taux effectif historique 34,2%/28,1%/29,1% (écarts vs statutaire liés aux éléments non courants et à la consolidation). Réforme fiscale marocaine (LF 2023) : convergence vers 35% pour les sociétés à bénéfice net ≥100 MMAD à partir de 2026 (source : DGI / Code Général des Impôts). Hypothèse : convergence progressive 30%→33%.</t>
  </si>
  <si>
    <t>6. COÛT DE LA DETTE</t>
  </si>
  <si>
    <t>Dettes de financement historique, fin de période (MAD)</t>
  </si>
  <si>
    <t>Résultat financier historique (MAD)</t>
  </si>
  <si>
    <t>Coût de la dette implicite historique (%) = -Résultat financier / Dette moyenne</t>
  </si>
  <si>
    <t>Coût de la dette cible projeté (hypothèse, %)</t>
  </si>
  <si>
    <t>Note : coût net implicite 2024/2025 ~4,6%/3,9% (résultat financier net, allègé par les produits de placement des TVP). Emprunt obligataire de 1,2 MMDH émis en 2025 (tranches 7 ans, taux fixe/révisable, non précisé publiquement). Hypothèse : légère hausse en 2026-27 (endettement brut plus lourd) puis normalisation.</t>
  </si>
  <si>
    <t>SOURCES ET MÉTHODOLOGIE</t>
  </si>
  <si>
    <t>• Historique 2023-2025 : onglet 'Donnees historiques' (états financiers consolidés Akdital S.A.).</t>
  </si>
  <si>
    <t>• Plan d'expansion (62 établissements / 6 200 lits Maroc fin 2027, expansion Tunisie/Arabie Saoudite/EAU ~35% du CA consolidé à horizon 2030) : communiqués de presse et conférence de résultats annuels du Groupe Akdital (T4 2025 / mars 2026).</t>
  </si>
  <si>
    <t>• Réforme de l'IS marocain (convergence vers 20%/35%/40% à partir de 2026) : Loi de Finances 2023 (loi n° 50-22), Code Général des Impôts, Art. 19-I.</t>
  </si>
  <si>
    <t>• Toutes les hypothèses projetées (cellules bleues sur fond jaune) sont des points de départ à ajuster selon votre propre vue — elles ne constituent pas une prévision officielle du Groupe.</t>
  </si>
  <si>
    <t>AKDITAL S.A. — Compte de résultat prévisionnel 2026-2030</t>
  </si>
  <si>
    <t>2025 = dernier exercice actuel (lié à 'Donnees historiques'). 2026-2030 = projection entièrement pilotée par les hypothèses de l'onglet 'Hypothèses'. Bleu = hypothèse locale · Vert = lien externe · Noir = calcul.</t>
  </si>
  <si>
    <t>COMPTE DE RÉSULTAT CONSOLIDÉ — PRÉVISIONNEL</t>
  </si>
  <si>
    <t>RATIOS DE RÉPARTITION (calculés depuis l'historique, utilisés pour ventiler les charges projetées)</t>
  </si>
  <si>
    <t>Part Achats et autres charges externes (base 2025, % du total charges cash hors dotations)</t>
  </si>
  <si>
    <t>Part Impôts et taxes (base 2025, % du total charges cash hors dotations)</t>
  </si>
  <si>
    <t>Part Charges de personnel (base 2025, % du total charges cash hors dotations)</t>
  </si>
  <si>
    <t>Part Autres charges d'exploitation (base 2025, % du total charges cash hors dotations)</t>
  </si>
  <si>
    <t>Dotations d'exploitation en % du CA (moyenne historique 2023-2025)</t>
  </si>
  <si>
    <t>Part du résultat net revenant au groupe (moyenne historique 2023-2025)</t>
  </si>
  <si>
    <t>Mémo — EBITDA cible (= CA projeté × marge EBITDA hypothèse)</t>
  </si>
  <si>
    <t>Hypothèse : dette de financement maintenue au niveau 2025 (dette projetée non encore modélisée — à affiner lors de la construction du Bilan prévisionnel)</t>
  </si>
  <si>
    <t>Hypothèse : éléments non courants nuls par nature (non récurrents, non prévisibles)</t>
  </si>
  <si>
    <t>MÉMO — INDICATEURS DE PILOTAGE</t>
  </si>
  <si>
    <t>Marge EBITDA (%)</t>
  </si>
  <si>
    <t>Marge d'exploitation / EBIT (%)</t>
  </si>
  <si>
    <t>Croissance du chiffre d'affaires (%)</t>
  </si>
  <si>
    <t>HYPOTHÈSES SOUS-JACENTES (rappel, liées à l'onglet 'Hypothèses')</t>
  </si>
  <si>
    <t>Croissance CA (hypothèse)</t>
  </si>
  <si>
    <t>Marge EBITDA cible (hypothèse)</t>
  </si>
  <si>
    <t>Taux d'imposition (hypothèse)</t>
  </si>
  <si>
    <t>Coût de la dette (hypothèse)</t>
  </si>
  <si>
    <t>NOTES ET MÉTHODOLOGIE</t>
  </si>
  <si>
    <t>• CA projeté = CA année précédente × (1 + croissance hypothèse), en partant de 2025 (onglet 'Donnees historiques'). Recoupe exactement 'Hypothèses'!E12:I12.</t>
  </si>
  <si>
    <t>• Achats, impôts et taxes, charges de personnel et autres charges d'exploitation sont ventilés à partir du total de charges cash implicite (CA − EBITDA cible), selon la répartition observée en 2025 (lignes 52-55). Les dotations d'exploitation suivent la moyenne historique 2023-2025 en % du CA (ligne 56).</t>
  </si>
  <si>
    <t>• Résultat financier = -Coût de la dette hypothèse × dette de financement 2025 (dette maintenue constante en l'absence de bilan prévisionnel — à raffiner dès que le Bilan sera construit).</t>
  </si>
  <si>
    <t>• Résultat non courant supposé nul (éléments non récurrents par nature). Dotations aux écarts d'acquisition et quote-part MEE maintenues au niveau 2025.</t>
  </si>
  <si>
    <t>• Répartition part groupe / intérêts minoritaires basée sur la moyenne historique 2023-2025 (ligne 57).</t>
  </si>
  <si>
    <t>• Modifier toute hypothèse dans l'onglet 'Hypothèses' recalcule automatiquement l'ensemble de ce compte de résultat.</t>
  </si>
  <si>
    <t>AKDITAL S.A. — Bilan prévisionnel 2026-2030</t>
  </si>
  <si>
    <t>2025 = dernier bilan actuel (lié à 'Donnees historiques'). 2026-2030 entièrement piloté par 'Hypothèses' et 'Compte de résultat'. La Dette de financement est la variable d'ajustement (plug) qui équilibre le bilan ; la Trésorerie résulte du calcul du flux de trésorerie simplifié (lignes 56-61). Bleu = hypothèse locale · Vert = lien externe · Noir = calcul.</t>
  </si>
  <si>
    <t>BILAN CONSOLIDÉ — ACTIF (PRÉVISIONNEL)</t>
  </si>
  <si>
    <t>RATIOS ET CALCULS INTERMÉDIAIRES (dérivés de l'historique, des Hypothèses et du Compte de résultat)</t>
  </si>
  <si>
    <t>Part Stocks dans l'actif circulant opérationnel (base 2025)</t>
  </si>
  <si>
    <t>Part Clients dans l'actif circulant opérationnel (base 2025)</t>
  </si>
  <si>
    <t>Part Autres créances dans l'actif circulant opérationnel (base 2025)</t>
  </si>
  <si>
    <t>Actif circulant opérationnel 2025 en % du CA (base de proportionnalité)</t>
  </si>
  <si>
    <t>Part Fournisseurs dans le passif circulant (base 2025)</t>
  </si>
  <si>
    <t>Part Autres dettes dans le passif circulant (base 2025)</t>
  </si>
  <si>
    <t>Taux de distribution de dividendes (hypothèse locale — aucun taux de payout dans l'onglet 'Hypothèses', supposé nul par défaut)</t>
  </si>
  <si>
    <t>Capex projeté (= % CA hypothèse × CA Compte de résultat)</t>
  </si>
  <si>
    <t>BFR (stock) — 2025 actuel et cible projetée (= % CA hypothèse × CA Compte de résultat)</t>
  </si>
  <si>
    <t>Actif circulant opérationnel projeté (Stocks+Clients+Autres créances, proportionnel au CA)</t>
  </si>
  <si>
    <t>Passif circulant projeté (résiduel = Actif circ. opérationnel − BFR cible)</t>
  </si>
  <si>
    <t>Dividendes versés (= taux de distribution × résultat net total, Compte de résultat)</t>
  </si>
  <si>
    <t>CFO simplifié (= Résultat net + Dotations d'exploitation + Dotations écarts d'acquisition − Δ BFR)</t>
  </si>
  <si>
    <t>BILAN CONSOLIDÉ — PASSIF (PRÉVISIONNEL)</t>
  </si>
  <si>
    <t>Dettes de financement (variable d'ajustement — voir note)</t>
  </si>
  <si>
    <t>CONTRÔLE BILAN (Actif − Passif, doit être 0)</t>
  </si>
  <si>
    <t>• Immobilisations corporelles = 2025 + Capex projeté (Hypothèses %CA × CA du Compte de résultat) + Dotations d'exploitation (négatives, Compte de résultat). Les autres postes d'actif immobilisé (écart d'acquisition, incorporelles, financières, impôts différés) sont maintenus au niveau 2025, faute de driver dédié.</t>
  </si>
  <si>
    <t>• Actif circulant opérationnel (Stocks+Clients+Autres créances) évolue proportionnellement au CA (ratio 2025). Le Passif circulant est calculé en résiduel pour faire correspondre exactement le BFR net à l'hypothèse Hypothèses!BFR%CA. La ventilation entre postes suit le mix historique 2025 (lignes 48-53).</t>
  </si>
  <si>
    <t>• Capitaux propres = 2025 + résultat net total de l'exercice (Compte de résultat) − dividendes. Aucune hypothèse de taux de distribution n'existe dans l'onglet 'Hypothèses' : posé à 0% par défaut en C54:G54 (modifiable localement, cellules bleues).</t>
  </si>
  <si>
    <t>• IMPORTANT — Logique du bouclage : la Trésorerie — actif (ligne 21) est calculée via un flux de trésorerie simplifié (CFO − Capex − Dividendes, ligne 61), PAS supposée. La Dette de financement (ligne 31) est ensuite la variable d'ajustement qui absorbe l'écart restant pour équilibrer Actif = Passif (formule = Total Actif − tous les autres postes de passif). Le contrôle en bas de feuille vérifie que le mécanisme de liaison fonctionne (aucune référence cassée), mais ne peut pas détecter une erreur de modélisation dans les hypothèses elles-mêmes — par construction, ce solde est toujours équilibré.</t>
  </si>
  <si>
    <t>• LIMITE À SURVEILLER : la Trésorerie — actif projetée devient négative dès 2026 (programme de capex très lourd vs génération de cash opérationnelle). Dans ce modèle simplifié, cela traduit un besoin de financement qui n'est pas encore explicitement matérialisé en nouvelle dette — le Tableau de flux de trésorerie à construire ensuite permettra d'affiner la répartition entre tirage de dette supplémentaire et niveau de trésorerie cible.</t>
  </si>
  <si>
    <t>• Trois lignes ('Dotations aux écarts d'acquisition', 'Quote-part MEE', montant des dividendes) proviennent directement du Compte de résultat ou d'une hypothèse locale — aucun chiffre saisi en dur.</t>
  </si>
  <si>
    <t>AKDITAL S.A. — Tableau de flux de trésorerie prévisionnel 2026-2030</t>
  </si>
  <si>
    <t>2025 = référence actuelle (liée à 'Donnees historiques', détail complet dans cet onglet). 2026-2030 = flux simplifiés entièrement pilotés par 'Compte de résultat' et 'Bilan'. Bleu = mémo · Vert = lien externe · Noir = calcul. Voir notes en bas de feuille (lignes 32+).</t>
  </si>
  <si>
    <t>TABLEAU DE FLUX DE TRÉSORERIE CONSOLIDÉ — PRÉVISIONNEL</t>
  </si>
  <si>
    <t>+ Dotations d'exploitation et écarts d'acquisition (retraitement non cash)</t>
  </si>
  <si>
    <t>Capacité d'autofinancement (CAF)</t>
  </si>
  <si>
    <t>FLUX NET DE TRÉSORERIE GÉNÉRÉ PAR L'ACTIVITÉ (I)</t>
  </si>
  <si>
    <t>FLUX NET DE TRÉSORERIE LIÉ AUX OPÉRATIONS D'INVESTISSEMENT (II)</t>
  </si>
  <si>
    <t>Dividendes versés</t>
  </si>
  <si>
    <t>FLUX NET DE TRÉSORERIE LIÉ AUX OPÉRATIONS DE FINANCEMENT (III)</t>
  </si>
  <si>
    <t>Mémo — Variation de la dette de financement (Bilan, plug résiduel — n'entre PAS dans le calcul de la trésorerie ci-dessous, voir note)</t>
  </si>
  <si>
    <t>VARIATION DE TRÉSORERIE (I + II + III)</t>
  </si>
  <si>
    <t>CONTRÔLE — Trésorerie de clôture calculée (TFT) − Trésorerie de l'onglet Bilan, doit être 0</t>
  </si>
  <si>
    <t>• Colonne 2025 : données actuelles liées à 'Donnees historiques' (détail complet des retraitements, cessions, variations de périmètre et écarts de change disponible dans cet onglet). Les totaux (I), (II), (III) 2025 sont repris directement des sous-totaux historiques et peuvent différer légèrement de la somme des lignes de détail affichées ici, qui sont simplifiées pour rester cohérentes avec le modèle 2026-2030.</t>
  </si>
  <si>
    <t>• Variation du BFR (2026-2030) = calculée à partir des variations d'une année sur l'autre des postes Stocks + Clients + Autres créances − Fournisseurs − Autres dettes de l'onglet 'Bilan' (lignes 15-17, 36-37).</t>
  </si>
  <si>
    <t>• Capex (2026-2030) = ligne Capex de l'onglet 'Bilan' (elle-même = Hypothèses %CA × CA du Compte de résultat).</t>
  </si>
  <si>
    <t>• IMPORTANT — Flux de financement : dans ce modèle, la Dette de financement du Bilan est une variable d'ajustement (plug) qui équilibre le bilan APRÈS que la trésorerie a été calculée — elle n'alimente donc pas la trésorerie ici (l'inclure créerait un double comptage). Le Flux de financement ne retient donc que les dividendes ; la variation de la dette Bilan est affichée en mémo (ligne 22) à titre informatif uniquement.</t>
  </si>
  <si>
    <t>• Avec cette construction, Trésorerie de clôture (TFT) = Trésorerie — actif (Bilan) à l'identique sur 2026-2030 (ligne 29 = 0) : la preuve que Compte de résultat, Bilan et TFT sont bien articulés ensemble.</t>
  </si>
  <si>
    <t>• Aucun chiffre saisi en dur : toutes les valeurs 2026-2030 proviennent de formules liées à 'Compte de résultat' et 'Bilan'.</t>
  </si>
  <si>
    <t>AKDITAL S.A. — DCF (Discounted Cash Flow) 2026-2030</t>
  </si>
  <si>
    <t>Entièrement relié aux onglets 'Compte de résultat', 'Bilan', 'Hypothèses', 'TFT' et 'Donnees historiques'. Bleu = hypothèse/donnée marché (avec source) · Vert = lien externe · Noir = calcul. Voir notes en bas (lignes 70+).</t>
  </si>
  <si>
    <t>FREE CASH FLOW TO FIRM (FCFF)</t>
  </si>
  <si>
    <t>Résultat d'exploitation (EBIT)</t>
  </si>
  <si>
    <t>Taux d'imposition théorique</t>
  </si>
  <si>
    <t>Impôt théorique sur l'EBIT</t>
  </si>
  <si>
    <t>NOPAT</t>
  </si>
  <si>
    <t>+ Dotations aux amortissements (exploitation + écarts d'acquisition)</t>
  </si>
  <si>
    <t>− Capex</t>
  </si>
  <si>
    <t>− Variation du BFR (lien TFT, déjà signée : négative si le BFR augmente)</t>
  </si>
  <si>
    <t>FCFF (Free Cash Flow to Firm)</t>
  </si>
  <si>
    <t>COÛT MOYEN PONDERÉ DU CAPITAL (WACC)</t>
  </si>
  <si>
    <t>Taux sans risque (Rf) — obligations d'État marocaines 10 ans</t>
  </si>
  <si>
    <t>Bêta sectoriel non relevé (Hospitals/Healthcare Facilities, secteur santé)</t>
  </si>
  <si>
    <t>Prime de risque marché Maroc (ERP, marché mature + prime pays)</t>
  </si>
  <si>
    <t>Taux d'imposition (pour relevé du bêta et bouclier fiscal dette, 2026)</t>
  </si>
  <si>
    <t>Dette nette 2025 (Dette de financement − Trésorerie actif, Bilan)</t>
  </si>
  <si>
    <t>Bêta relevé (Hamada) = Bêta non relevé × (1 + (1−taux d'imposition) × D/E)</t>
  </si>
  <si>
    <t>Coût des capitaux propres (CAPM) = Rf + Bêta relevé × ERP</t>
  </si>
  <si>
    <t>Coût de la dette avant impôt (moyenne Hypothèses 2026-2030)</t>
  </si>
  <si>
    <t>Coût de la dette après impôt</t>
  </si>
  <si>
    <t>WACC</t>
  </si>
  <si>
    <t>VALEUR TERMINALE (GORDON GROWTH)</t>
  </si>
  <si>
    <t>Taux de croissance perpétuelle (g)</t>
  </si>
  <si>
    <t>Valeur terminale (= FCFF terminal / (WACC − g))</t>
  </si>
  <si>
    <t>ACTUALISATION DES FCFF</t>
  </si>
  <si>
    <t>Période d'actualisation</t>
  </si>
  <si>
    <t>Facteur d'actualisation</t>
  </si>
  <si>
    <t>FCFF actualisé</t>
  </si>
  <si>
    <t>VALORISATION</t>
  </si>
  <si>
    <t>= VALEUR D'ENTREPRISE (EV)</t>
  </si>
  <si>
    <t>− Dette nette 2025 (Bilan)</t>
  </si>
  <si>
    <t>− Intérêts minoritaires 2025 (Bilan)</t>
  </si>
  <si>
    <t>= VALEUR DES CAPITAUX PROPRES</t>
  </si>
  <si>
    <t>Valeur nominale par action (référence pour calcul du nombre d'actions)</t>
  </si>
  <si>
    <t>Nombre d'actions (= Capital social 2025 / valeur nominale)</t>
  </si>
  <si>
    <t>VALEUR PAR ACTION (DCF)</t>
  </si>
  <si>
    <t>Cours de bourse actuel (Casablanca, AKT)</t>
  </si>
  <si>
    <t>Upside / (Downside) implicite</t>
  </si>
  <si>
    <t>SENSIBILITÉ — VALEUR PAR ACTION (MAD) SELON WACC ET CROISSANCE TERMINALE (g)</t>
  </si>
  <si>
    <t>WACC \ g</t>
  </si>
  <si>
    <t>Valeur terminale actualisée (+)</t>
  </si>
  <si>
    <t>RÉVISÉ (audit) : programme national terminé à fin 2027 (62 étab./6 200 lits) ; BKGR (mai 2025) anticipe explicitement une 'stabilisation des dépenses d'investissement à partir de 2026', et le management vise un retour du levier net/EBITDA à 0,7x à horizon 2030 (boursenews.ma, 29/03/2026) — incompatible avec un capex qui resterait élevé jusqu'en 2030. Glissement plus marqué post-2027 une fois le réseau national ciblé atteint ; le capex résiduel 2028-2030 ne couvre plus que l'entretien + le volet international (programme Golfe ~1,4 MdUSD dont ~160-210 M$ financés directement par Akdital, boursenews.ma 14/01/2026).</t>
  </si>
  <si>
    <t>Capitalisation boursière 2025 (valeur de marché = cours actuel × nombre d'actions)</t>
  </si>
  <si>
    <t>Ratio Dette nette / Capitalisation boursière (D/E, valeur de marché)</t>
  </si>
  <si>
    <t>Poids capitaux propres (E / (D+E), valeur de marché)</t>
  </si>
  <si>
    <t>Poids dette nette (D / (D+E), valeur de marché)</t>
  </si>
  <si>
    <t>PROLONGATION EXPLICITE (FADE) 2031-2033 — évite de tronquer une histoire de croissance encore soutenue en 2030</t>
  </si>
  <si>
    <t>Croissance CA (hypothèse de décélération progressive vers g)</t>
  </si>
  <si>
    <t>CA projeté (fade)</t>
  </si>
  <si>
    <t>Marge EBITDA (maintenue au niveau 2030)</t>
  </si>
  <si>
    <t>EBITDA (fade)</t>
  </si>
  <si>
    <t>+ Dotations aux amortissements (moyenne historique %CA, lien Bilan)</t>
  </si>
  <si>
    <t>EBIT (fade)</t>
  </si>
  <si>
    <t>Taux d'imposition (maintenu au niveau 2030)</t>
  </si>
  <si>
    <t>Impôt théorique sur l'EBIT (fade)</t>
  </si>
  <si>
    <t>NOPAT (fade)</t>
  </si>
  <si>
    <t>Capex % du CA (convergence vers le niveau d'entretien ≈ D&amp;A)</t>
  </si>
  <si>
    <t>− Capex (fade)</t>
  </si>
  <si>
    <t>BFR en % du CA (maintenu au niveau 2030, lien Hypothèses)</t>
  </si>
  <si>
    <t>BFR stock (fade)</t>
  </si>
  <si>
    <t>− Variation du BFR (fade)</t>
  </si>
  <si>
    <t>FCFF (fade)</t>
  </si>
  <si>
    <t>FCFF terminal (année 2034e = FCFF 2033 × (1+g))</t>
  </si>
  <si>
    <t>Valeur terminale actualisée (à fin 2033, période 8)</t>
  </si>
  <si>
    <t>Somme des FCFF actualisés (2026-2033)</t>
  </si>
  <si>
    <t>MÉMO — COMPARAISON DE SCÉNARIOS (pour transparence, voir notes)</t>
  </si>
  <si>
    <t>Valeur par action — horizon 5 ans seulement (sans prolongation 2031-2033)</t>
  </si>
  <si>
    <t>Valeur par action — avec prolongation 2031-2033 (scénario retenu ci-dessus, ligne 55)</t>
  </si>
  <si>
    <t>NOTES ET MÉTHODOLOGIE (mis à jour après audit)</t>
  </si>
  <si>
    <t>• AUDIT : la valorisation initiale (261,84 MAD/action, -77,6%) provenait de 3 hypothèses en amont dans 'Hypothèses' et le DCF, corrigées ci-dessous. Voir tableau récapitulatif fourni en réponse.</t>
  </si>
  <si>
    <t>• (1) Capex%CA était maintenu élevé jusqu'en 2030 (45/38/28/22/18%) alors que BKGR (mai 2025) anticipe une 'stabilisation des CAPEX à partir de 2026' et le management vise un retour du levier à 0,7x d'ici 2030 — incompatible avec un capex durablement élevé. Révisé dans 'Hypothèses' à 42/35/18/14/12%.</t>
  </si>
  <si>
    <t>• (2) WACC utilisait la structure de capital en valeur COMPTABLE (D/E=110%), alors que la capitalisation boursière d'Akdital (~16,6 MMDH) représente environ 5,7x ses capitaux propres comptables (~2,9 MMDH) — sous-évalue fortement le poids réel des capitaux propres. Corrigé en valeur de MARCHé (lignes 23-31) : WACC 6,79% contre 6,38% avant.</t>
  </si>
  <si>
    <t>• Les intuitions initiales sur le pont EV→capitaux propres (dette nette + intérêts minoritaires soustraits) et le nombre d'actions (14 159 207, post-augmentation de capital 2024) étaient déjà corrects — aucune correction nécessaire sur ces points.</t>
  </si>
  <si>
    <t>• La prime de risque marché Maroc (6,5%) reste une estimation raisonnée, non un chiffre Damodaran Maroc directement extrait. Modifier toute hypothèse dans 'Hypothèses' recalcule automatiquement l'ensemble de ce DCF.</t>
  </si>
  <si>
    <t>• (3) Horizon 5 ans avec Gordon Growth immédiat à 2,5% tronquait une histoire de croissance qu'un consensus sell-side (CFG Bank) situe encore à +24,5% CAGR jusqu'en 2030. Ajout d'une prolongation explicite 2031-2033 (lignes 76-92, croissance 12%→8%→5%). Capex de prolongation : maintenance (~9,9% D&amp;A) + une part de capex de croissance proportionnelle au taux de croissance encore élevé (16%→13%→11,5%) — une première version convergeant vers le seul niveau d'entretien (11%→10%→9,5%) surestimait le FCFF et a été corrigée.</t>
  </si>
  <si>
    <t>• RÉSULTAT : avec (1)+(2) seules, horizon 5 ans : 1 443,21 MAD/action (+23,4% vs cours actuel, ligne 95). Avec (1)+(2)+(3) prolongation révisée : 1 857,78 MAD/action (+58,8%, ligne 55/96) — désormais juste en deçà de la cible analyste la plus haussière (Beltone Research, 1 870 MAD), donc dans une fourchette défendable plutôt qu'au-dessus du consensus.</t>
  </si>
  <si>
    <t>AKDITAL S.A. — TABLEAU DE BORD</t>
  </si>
  <si>
    <t>Synthèse visuelle du modèle — toutes les valeurs sont liées par formule aux onglets 'Donnees historiques', 'Hypothèses', 'Compte de résultat', 'Bilan' et 'DCF'.</t>
  </si>
  <si>
    <t>INDICATEURS CLÉS</t>
  </si>
  <si>
    <t>Cours de bourse actuel (MAD)</t>
  </si>
  <si>
    <t>Valeur intrinsèque DCF (avec prolongation 2031-2033)</t>
  </si>
  <si>
    <t>Valeur intrinsèque DCF (horizon 5 ans seul, mémo)</t>
  </si>
  <si>
    <t>Taux de croissance terminale (g)</t>
  </si>
  <si>
    <t>Valeur d'entreprise (EV, MAD)</t>
  </si>
  <si>
    <t>Valeur des capitaux propres (MAD)</t>
  </si>
  <si>
    <t>Nombre d'actions</t>
  </si>
  <si>
    <t>CA 2025 actuel (MAD)</t>
  </si>
  <si>
    <t>CA 2030 projeté (MAD)</t>
  </si>
  <si>
    <t>CAGR CA 2025-2030 projeté</t>
  </si>
  <si>
    <t>Marge EBITDA 2025 actuelle</t>
  </si>
  <si>
    <t>Marge EBITDA 2030 projetée</t>
  </si>
  <si>
    <t>Dette nette / EBITDA 2030 projeté (levier)</t>
  </si>
  <si>
    <t>ÉVOLUTION DU CHIFFRE D'AFFAIRES (MAD) — historique + projeté</t>
  </si>
  <si>
    <t>Année</t>
  </si>
  <si>
    <t>FCFF PAR ANNÉE (MAD) — 2026-2033</t>
  </si>
  <si>
    <t>FCFF (MAD)</t>
  </si>
  <si>
    <t>PONT DE VALORISATION (MAD)</t>
  </si>
  <si>
    <t>Étape</t>
  </si>
  <si>
    <t>Montant</t>
  </si>
  <si>
    <t>Valeur d'entreprise (EV)</t>
  </si>
  <si>
    <t>− Dette nette 2025</t>
  </si>
  <si>
    <t>− Intérêts minoritaires 2025</t>
  </si>
  <si>
    <t>= Valeur des capitaux propres</t>
  </si>
  <si>
    <t>(bloc technique pour graphique marge 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</si>
</sst>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0%\);\-"/>
    <numFmt numFmtId="167" formatCode="0.000"/>
    <numFmt numFmtId="168" formatCode="0.0%"/>
    <numFmt numFmtId="170" formatCode="\+0.0%;\-0.0%"/>
    <numFmt numFmtId="171" formatCode="0.00&quot;x&quot;"/>
  </numFmts>
  <fonts count="30" x14ac:knownFonts="1">
    <font>
      <sz val="11"/>
      <color theme="1"/>
      <name val="Calibri"/>
      <family val="2"/>
      <charset val="1"/>
    </font>
    <font>
      <b/>
      <sz val="13"/>
      <color rgb="FFFFFFFF"/>
      <name val="Arial"/>
      <family val="2"/>
    </font>
    <font>
      <i/>
      <sz val="9"/>
      <color rgb="FF808080"/>
      <name val="Arial"/>
      <family val="2"/>
    </font>
    <font>
      <b/>
      <sz val="11"/>
      <color rgb="FFFFFFFF"/>
      <name val="Arial"/>
      <family val="2"/>
    </font>
    <font>
      <b/>
      <sz val="10"/>
      <color rgb="FF000000"/>
      <name val="Arial"/>
      <family val="2"/>
    </font>
    <font>
      <b/>
      <sz val="10"/>
      <color rgb="FFFFFFFF"/>
      <name val="Arial"/>
      <family val="2"/>
    </font>
    <font>
      <sz val="10"/>
      <color rgb="FF000000"/>
      <name val="Arial"/>
      <family val="2"/>
    </font>
    <font>
      <sz val="10"/>
      <color rgb="FF0000FF"/>
      <name val="Arial"/>
      <family val="2"/>
    </font>
    <font>
      <b/>
      <sz val="14"/>
      <color theme="1"/>
      <name val="Calibri"/>
      <family val="2"/>
      <charset val="1"/>
    </font>
    <font>
      <sz val="9"/>
      <color theme="1"/>
      <name val="Calibri"/>
      <family val="2"/>
      <charset val="1"/>
    </font>
    <font>
      <i/>
      <sz val="9"/>
      <color theme="1"/>
      <name val="Calibri"/>
      <family val="2"/>
      <charset val="1"/>
    </font>
    <font>
      <b/>
      <sz val="11"/>
      <color theme="1"/>
      <name val="Calibri"/>
      <family val="2"/>
      <charset val="1"/>
    </font>
    <font>
      <b/>
      <sz val="11"/>
      <color rgb="FFFFFFFF"/>
      <name val="Calibri"/>
      <family val="2"/>
      <charset val="1"/>
    </font>
    <font>
      <sz val="11"/>
      <color rgb="FF008000"/>
      <name val="Calibri"/>
      <family val="2"/>
      <charset val="1"/>
    </font>
    <font>
      <sz val="11"/>
      <color rgb="FF0000FF"/>
      <name val="Calibri"/>
      <family val="2"/>
      <charset val="1"/>
    </font>
    <font>
      <i/>
      <sz val="9"/>
      <color rgb="FF808080"/>
      <name val="Calibri"/>
      <family val="2"/>
      <charset val="1"/>
    </font>
    <font>
      <b/>
      <sz val="10"/>
      <color theme="1"/>
      <name val="Calibri"/>
      <family val="2"/>
      <charset val="1"/>
    </font>
    <font>
      <b/>
      <sz val="9"/>
      <color theme="1"/>
      <name val="Calibri"/>
      <family val="2"/>
      <charset val="1"/>
    </font>
    <font>
      <sz val="9"/>
      <color rgb="FF008000"/>
      <name val="Calibri"/>
      <family val="2"/>
      <charset val="1"/>
    </font>
    <font>
      <i/>
      <sz val="8"/>
      <color rgb="FF808080"/>
      <name val="Calibri"/>
      <family val="2"/>
      <charset val="1"/>
    </font>
    <font>
      <sz val="8"/>
      <color theme="1"/>
      <name val="Calibri"/>
      <family val="2"/>
      <charset val="1"/>
    </font>
    <font>
      <b/>
      <sz val="11"/>
      <color rgb="FF008000"/>
      <name val="Calibri"/>
      <family val="2"/>
      <charset val="1"/>
    </font>
    <font>
      <i/>
      <sz val="9"/>
      <color rgb="FFC00000"/>
      <name val="Calibri"/>
      <family val="2"/>
      <charset val="1"/>
    </font>
    <font>
      <sz val="9"/>
      <color rgb="FF0000FF"/>
      <name val="Calibri"/>
      <family val="2"/>
      <charset val="1"/>
    </font>
    <font>
      <i/>
      <sz val="9"/>
      <color rgb="FF0000FF"/>
      <name val="Calibri"/>
      <family val="2"/>
      <charset val="1"/>
    </font>
    <font>
      <sz val="9"/>
      <color indexed="81"/>
      <name val="Tahoma"/>
      <family val="2"/>
    </font>
    <font>
      <b/>
      <sz val="9"/>
      <color indexed="81"/>
      <name val="Tahoma"/>
      <family val="2"/>
    </font>
    <font>
      <b/>
      <sz val="9"/>
      <color rgb="FFFFFFFF"/>
      <name val="Calibri"/>
      <family val="2"/>
      <charset val="1"/>
    </font>
    <font>
      <b/>
      <sz val="16"/>
      <color theme="1"/>
      <name val="Calibri"/>
      <family val="2"/>
      <charset val="1"/>
    </font>
    <font>
      <sz val="8"/>
      <color rgb="FFA6A6A6"/>
      <name val="Calibri"/>
      <family val="2"/>
      <charset val="1"/>
    </font>
  </fonts>
  <fills count="12">
    <fill>
      <patternFill patternType="none"/>
    </fill>
    <fill>
      <patternFill patternType="gray125"/>
    </fill>
    <fill>
      <patternFill patternType="solid">
        <fgColor rgb="FF1F4E78"/>
        <bgColor rgb="FF003366"/>
      </patternFill>
    </fill>
    <fill>
      <patternFill patternType="solid">
        <fgColor rgb="FF2E75B6"/>
        <bgColor rgb="FF0066CC"/>
      </patternFill>
    </fill>
    <fill>
      <patternFill patternType="solid">
        <fgColor rgb="FFD9E1F2"/>
        <bgColor rgb="FFCCFFFF"/>
      </patternFill>
    </fill>
    <fill>
      <patternFill patternType="solid">
        <fgColor rgb="FFD9E1F2"/>
        <bgColor indexed="64"/>
      </patternFill>
    </fill>
    <fill>
      <patternFill patternType="solid">
        <fgColor rgb="FFFCE4D6"/>
        <bgColor indexed="64"/>
      </patternFill>
    </fill>
    <fill>
      <patternFill patternType="solid">
        <fgColor rgb="FF1F4E78"/>
        <bgColor indexed="64"/>
      </patternFill>
    </fill>
    <fill>
      <patternFill patternType="solid">
        <fgColor rgb="FFFFFF00"/>
        <bgColor indexed="64"/>
      </patternFill>
    </fill>
    <fill>
      <patternFill patternType="solid">
        <fgColor rgb="FFE7E6E6"/>
        <bgColor indexed="64"/>
      </patternFill>
    </fill>
    <fill>
      <patternFill patternType="solid">
        <fgColor rgb="FFFFF2CC"/>
        <bgColor indexed="64"/>
      </patternFill>
    </fill>
    <fill>
      <patternFill patternType="solid">
        <fgColor rgb="FFBDD7EE"/>
        <bgColor indexed="64"/>
      </patternFill>
    </fill>
  </fills>
  <borders count="2">
    <border>
      <left/>
      <right/>
      <top/>
      <bottom/>
      <diagonal/>
    </border>
    <border>
      <left/>
      <right/>
      <top/>
      <bottom style="thin">
        <color rgb="FFBFBFBF"/>
      </bottom>
      <diagonal/>
    </border>
  </borders>
  <cellStyleXfs count="1">
    <xf numFmtId="0" fontId="0" fillId="0" borderId="0"/>
  </cellStyleXfs>
  <cellXfs count="89">
    <xf numFmtId="0" fontId="0" fillId="0" borderId="0" xfId="0"/>
    <xf numFmtId="0" fontId="2" fillId="0" borderId="0" xfId="0" applyFont="1" applyAlignment="1">
      <alignment wrapText="1"/>
    </xf>
    <xf numFmtId="0" fontId="3" fillId="3" borderId="0" xfId="0" applyFont="1" applyFill="1" applyAlignment="1">
      <alignment horizontal="left" vertical="center" indent="1"/>
    </xf>
    <xf numFmtId="0" fontId="2" fillId="0" borderId="0" xfId="0" applyFont="1"/>
    <xf numFmtId="0" fontId="1" fillId="2" borderId="0" xfId="0" applyFont="1" applyFill="1" applyAlignment="1">
      <alignment horizontal="left" vertical="center" indent="1"/>
    </xf>
    <xf numFmtId="0" fontId="2" fillId="0" borderId="0" xfId="0" applyFont="1"/>
    <xf numFmtId="0" fontId="4" fillId="0" borderId="1" xfId="0" applyFont="1" applyBorder="1"/>
    <xf numFmtId="0" fontId="5" fillId="2" borderId="1" xfId="0" applyFont="1" applyFill="1" applyBorder="1" applyAlignment="1">
      <alignment horizontal="center"/>
    </xf>
    <xf numFmtId="0" fontId="6" fillId="0" borderId="0" xfId="0" applyFont="1"/>
    <xf numFmtId="164" fontId="7" fillId="0" borderId="0" xfId="0" applyNumberFormat="1" applyFont="1" applyAlignment="1">
      <alignment horizontal="right"/>
    </xf>
    <xf numFmtId="0" fontId="4" fillId="4" borderId="1" xfId="0" applyFont="1" applyFill="1" applyBorder="1"/>
    <xf numFmtId="164" fontId="4" fillId="4" borderId="1" xfId="0" applyNumberFormat="1" applyFont="1" applyFill="1" applyBorder="1" applyAlignment="1">
      <alignment horizontal="right"/>
    </xf>
    <xf numFmtId="164" fontId="6" fillId="0" borderId="0" xfId="0" applyNumberFormat="1" applyFont="1" applyAlignment="1">
      <alignment horizontal="right"/>
    </xf>
    <xf numFmtId="0" fontId="6" fillId="0" borderId="0" xfId="0" applyFont="1" applyAlignment="1">
      <alignment indent="1"/>
    </xf>
    <xf numFmtId="0" fontId="8" fillId="0" borderId="0" xfId="0" applyFont="1"/>
    <xf numFmtId="0" fontId="9" fillId="0" borderId="0" xfId="0" applyFont="1"/>
    <xf numFmtId="0" fontId="10" fillId="0" borderId="0" xfId="0" applyFont="1"/>
    <xf numFmtId="0" fontId="11" fillId="0" borderId="0" xfId="0" applyFont="1"/>
    <xf numFmtId="0" fontId="11" fillId="5" borderId="0" xfId="0" applyFont="1" applyFill="1"/>
    <xf numFmtId="0" fontId="11" fillId="5" borderId="0" xfId="0" applyFont="1" applyFill="1" applyAlignment="1">
      <alignment horizontal="center"/>
    </xf>
    <xf numFmtId="0" fontId="11" fillId="6" borderId="0" xfId="0" applyFont="1" applyFill="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2" fillId="7" borderId="0" xfId="0" applyFont="1" applyFill="1"/>
    <xf numFmtId="0" fontId="0" fillId="7" borderId="0" xfId="0" applyFill="1"/>
    <xf numFmtId="164" fontId="13" fillId="0" borderId="0" xfId="0" applyNumberFormat="1" applyFont="1"/>
    <xf numFmtId="165" fontId="0" fillId="0" borderId="0" xfId="0" applyNumberFormat="1"/>
    <xf numFmtId="165" fontId="14" fillId="8" borderId="0" xfId="0" applyNumberFormat="1" applyFont="1" applyFill="1"/>
    <xf numFmtId="164" fontId="11" fillId="0" borderId="0" xfId="0" applyNumberFormat="1" applyFont="1"/>
    <xf numFmtId="0" fontId="15" fillId="0" borderId="0" xfId="0" applyFont="1"/>
    <xf numFmtId="0" fontId="16" fillId="0" borderId="0" xfId="0" applyFont="1"/>
    <xf numFmtId="49" fontId="11" fillId="5" borderId="0" xfId="0" applyNumberFormat="1" applyFont="1" applyFill="1" applyAlignment="1">
      <alignment horizontal="center"/>
    </xf>
    <xf numFmtId="49" fontId="11" fillId="6" borderId="0" xfId="0" applyNumberFormat="1" applyFont="1" applyFill="1" applyAlignment="1">
      <alignment horizontal="center"/>
    </xf>
    <xf numFmtId="0" fontId="17" fillId="0" borderId="0" xfId="0" applyFont="1"/>
    <xf numFmtId="0" fontId="17" fillId="9" borderId="0" xfId="0" applyFont="1" applyFill="1"/>
    <xf numFmtId="165" fontId="13" fillId="0" borderId="0" xfId="0" applyNumberFormat="1" applyFont="1"/>
    <xf numFmtId="164" fontId="0" fillId="0" borderId="0" xfId="0" applyNumberFormat="1"/>
    <xf numFmtId="164" fontId="18" fillId="0" borderId="0" xfId="0" applyNumberFormat="1" applyFont="1"/>
    <xf numFmtId="164" fontId="9" fillId="0" borderId="0" xfId="0" applyNumberFormat="1" applyFont="1"/>
    <xf numFmtId="0" fontId="19" fillId="0" borderId="0" xfId="0" applyFont="1"/>
    <xf numFmtId="164" fontId="14" fillId="8" borderId="0" xfId="0" applyNumberFormat="1" applyFont="1" applyFill="1"/>
    <xf numFmtId="0" fontId="20" fillId="0" borderId="0" xfId="0" applyFont="1"/>
    <xf numFmtId="164" fontId="20" fillId="0" borderId="0" xfId="0" applyNumberFormat="1" applyFont="1"/>
    <xf numFmtId="165" fontId="9" fillId="0" borderId="0" xfId="0" applyNumberFormat="1" applyFont="1"/>
    <xf numFmtId="165" fontId="18" fillId="0" borderId="0" xfId="0" applyNumberFormat="1" applyFont="1"/>
    <xf numFmtId="164" fontId="21" fillId="0" borderId="0" xfId="0" applyNumberFormat="1" applyFont="1"/>
    <xf numFmtId="164" fontId="11" fillId="5" borderId="0" xfId="0" applyNumberFormat="1" applyFont="1" applyFill="1"/>
    <xf numFmtId="164" fontId="11" fillId="10" borderId="0" xfId="0" applyNumberFormat="1" applyFont="1" applyFill="1"/>
    <xf numFmtId="0" fontId="22" fillId="0" borderId="0" xfId="0" applyFont="1"/>
    <xf numFmtId="0" fontId="24" fillId="0" borderId="0" xfId="0" applyFont="1"/>
    <xf numFmtId="164" fontId="23" fillId="0" borderId="0" xfId="0" applyNumberFormat="1" applyFont="1"/>
    <xf numFmtId="166" fontId="14" fillId="0" borderId="0" xfId="0" applyNumberFormat="1" applyFont="1"/>
    <xf numFmtId="2" fontId="14" fillId="0" borderId="0" xfId="0" applyNumberFormat="1" applyFont="1"/>
    <xf numFmtId="2" fontId="0" fillId="0" borderId="0" xfId="0" applyNumberFormat="1"/>
    <xf numFmtId="2" fontId="11" fillId="0" borderId="0" xfId="0" applyNumberFormat="1" applyFont="1"/>
    <xf numFmtId="166" fontId="11" fillId="0" borderId="0" xfId="0" applyNumberFormat="1" applyFont="1"/>
    <xf numFmtId="166" fontId="13" fillId="0" borderId="0" xfId="0" applyNumberFormat="1" applyFont="1"/>
    <xf numFmtId="166" fontId="0" fillId="0" borderId="0" xfId="0" applyNumberFormat="1"/>
    <xf numFmtId="166" fontId="11" fillId="5" borderId="0" xfId="0" applyNumberFormat="1" applyFont="1" applyFill="1"/>
    <xf numFmtId="165" fontId="14" fillId="0" borderId="0" xfId="0" applyNumberFormat="1" applyFont="1"/>
    <xf numFmtId="1" fontId="0" fillId="0" borderId="0" xfId="0" applyNumberFormat="1"/>
    <xf numFmtId="167" fontId="0" fillId="0" borderId="0" xfId="0" applyNumberFormat="1"/>
    <xf numFmtId="0" fontId="0" fillId="0" borderId="0" xfId="0" quotePrefix="1"/>
    <xf numFmtId="0" fontId="11" fillId="5" borderId="0" xfId="0" quotePrefix="1" applyFont="1" applyFill="1"/>
    <xf numFmtId="3" fontId="14" fillId="0" borderId="0" xfId="0" applyNumberFormat="1" applyFont="1"/>
    <xf numFmtId="3" fontId="13" fillId="0" borderId="0" xfId="0" applyNumberFormat="1" applyFont="1"/>
    <xf numFmtId="0" fontId="11" fillId="11" borderId="0" xfId="0" applyFont="1" applyFill="1"/>
    <xf numFmtId="4" fontId="11" fillId="11" borderId="0" xfId="0" applyNumberFormat="1" applyFont="1" applyFill="1"/>
    <xf numFmtId="4" fontId="14" fillId="0" borderId="0" xfId="0" applyNumberFormat="1" applyFont="1"/>
    <xf numFmtId="165" fontId="11" fillId="0" borderId="0" xfId="0" applyNumberFormat="1" applyFont="1"/>
    <xf numFmtId="0" fontId="0" fillId="5" borderId="0" xfId="0" applyFill="1"/>
    <xf numFmtId="10" fontId="11" fillId="5" borderId="0" xfId="0" applyNumberFormat="1" applyFont="1" applyFill="1" applyAlignment="1">
      <alignment horizontal="center"/>
    </xf>
    <xf numFmtId="168" fontId="11" fillId="5" borderId="0" xfId="0" applyNumberFormat="1" applyFont="1" applyFill="1" applyAlignment="1">
      <alignment horizontal="center"/>
    </xf>
    <xf numFmtId="4" fontId="0" fillId="0" borderId="0" xfId="0" applyNumberFormat="1"/>
    <xf numFmtId="0" fontId="27" fillId="7" borderId="0" xfId="0" applyFont="1" applyFill="1"/>
    <xf numFmtId="168" fontId="14" fillId="0" borderId="0" xfId="0" applyNumberFormat="1" applyFont="1"/>
    <xf numFmtId="168" fontId="13" fillId="0" borderId="0" xfId="0" applyNumberFormat="1" applyFont="1"/>
    <xf numFmtId="168" fontId="0" fillId="0" borderId="0" xfId="0" applyNumberFormat="1"/>
    <xf numFmtId="0" fontId="11" fillId="9" borderId="0" xfId="0" applyFont="1" applyFill="1"/>
    <xf numFmtId="4" fontId="11" fillId="0" borderId="0" xfId="0" applyNumberFormat="1" applyFont="1"/>
    <xf numFmtId="0" fontId="28" fillId="0" borderId="0" xfId="0" applyFont="1"/>
    <xf numFmtId="4" fontId="13" fillId="0" borderId="0" xfId="0" applyNumberFormat="1" applyFont="1"/>
    <xf numFmtId="4" fontId="21" fillId="11" borderId="0" xfId="0" applyNumberFormat="1" applyFont="1" applyFill="1"/>
    <xf numFmtId="170" fontId="21" fillId="11" borderId="0" xfId="0" applyNumberFormat="1" applyFont="1" applyFill="1"/>
    <xf numFmtId="10" fontId="13" fillId="0" borderId="0" xfId="0" applyNumberFormat="1" applyFont="1"/>
    <xf numFmtId="171" fontId="0" fillId="0" borderId="0" xfId="0" applyNumberFormat="1"/>
    <xf numFmtId="3" fontId="21" fillId="0" borderId="0" xfId="0" applyNumberFormat="1" applyFont="1"/>
    <xf numFmtId="0" fontId="29" fillId="0" borderId="0" xfId="0" applyFont="1"/>
    <xf numFmtId="49" fontId="0" fillId="0" borderId="0" xfId="0" applyNumberFormat="1"/>
  </cellXfs>
  <cellStyles count="1">
    <cellStyle name="Normal" xfId="0" builtinId="0"/>
  </cellStyles>
  <dxfs count="6">
    <dxf>
      <font>
        <color rgb="FF00B050"/>
      </font>
    </dxf>
    <dxf>
      <font>
        <color rgb="FFC00000"/>
      </font>
    </dxf>
    <dxf>
      <font>
        <color rgb="FFC00000"/>
      </font>
    </dxf>
    <dxf>
      <font>
        <color rgb="FFC00000"/>
      </font>
    </dxf>
    <dxf>
      <font>
        <color rgb="FF00B050"/>
      </font>
    </dxf>
    <dxf>
      <font>
        <color rgb="FFC0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Pont de valorisation (MAD)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Dashboard!$E$17:$E$20</c:f>
              <c:strCache>
                <c:ptCount val="4"/>
                <c:pt idx="0">
                  <c:v>Valeur d'entreprise (EV)</c:v>
                </c:pt>
                <c:pt idx="1">
                  <c:v>− Dette nette 2025</c:v>
                </c:pt>
                <c:pt idx="2">
                  <c:v>− Intérêts minoritaires 2025</c:v>
                </c:pt>
                <c:pt idx="3">
                  <c:v>= Valeur des capitaux propres</c:v>
                </c:pt>
              </c:strCache>
            </c:strRef>
          </c:cat>
          <c:val>
            <c:numRef>
              <c:f>Dashboard!$F$17:$F$20</c:f>
              <c:numCache>
                <c:formatCode>#,##0</c:formatCode>
                <c:ptCount val="4"/>
                <c:pt idx="0">
                  <c:v>29599814105.083702</c:v>
                </c:pt>
                <c:pt idx="1">
                  <c:v>-3223136469</c:v>
                </c:pt>
                <c:pt idx="2">
                  <c:v>-72033450</c:v>
                </c:pt>
                <c:pt idx="3">
                  <c:v>26304644186.083702</c:v>
                </c:pt>
              </c:numCache>
            </c:numRef>
          </c:val>
          <c:extLst>
            <c:ext xmlns:c16="http://schemas.microsoft.com/office/drawing/2014/chart" uri="{C3380CC4-5D6E-409C-BE32-E72D297353CC}">
              <c16:uniqueId val="{00000000-F483-4D8D-97DC-EB83240D7F29}"/>
            </c:ext>
          </c:extLst>
        </c:ser>
        <c:dLbls>
          <c:showLegendKey val="0"/>
          <c:showVal val="0"/>
          <c:showCatName val="0"/>
          <c:showSerName val="0"/>
          <c:showPercent val="0"/>
          <c:showBubbleSize val="0"/>
        </c:dLbls>
        <c:gapWidth val="219"/>
        <c:overlap val="-27"/>
        <c:axId val="1550112831"/>
        <c:axId val="1553793519"/>
      </c:barChart>
      <c:catAx>
        <c:axId val="1550112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793519"/>
        <c:crosses val="autoZero"/>
        <c:auto val="1"/>
        <c:lblAlgn val="ctr"/>
        <c:lblOffset val="100"/>
        <c:noMultiLvlLbl val="0"/>
      </c:catAx>
      <c:valAx>
        <c:axId val="15537935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01128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Chiffre d'affaires 2023-2033 (MAD)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Dashboard!$F$5:$N$5</c:f>
              <c:numCache>
                <c:formatCode>@</c:formatCode>
                <c:ptCount val="9"/>
                <c:pt idx="0">
                  <c:v>2023</c:v>
                </c:pt>
                <c:pt idx="1">
                  <c:v>2024</c:v>
                </c:pt>
                <c:pt idx="2">
                  <c:v>2025</c:v>
                </c:pt>
                <c:pt idx="3">
                  <c:v>2026</c:v>
                </c:pt>
                <c:pt idx="4">
                  <c:v>2027</c:v>
                </c:pt>
                <c:pt idx="5">
                  <c:v>2028</c:v>
                </c:pt>
                <c:pt idx="6">
                  <c:v>2029</c:v>
                </c:pt>
                <c:pt idx="7">
                  <c:v>2030</c:v>
                </c:pt>
                <c:pt idx="8">
                  <c:v>2033</c:v>
                </c:pt>
              </c:numCache>
            </c:numRef>
          </c:cat>
          <c:val>
            <c:numRef>
              <c:f>Dashboard!$F$6:$N$6</c:f>
              <c:numCache>
                <c:formatCode>#,##0</c:formatCode>
                <c:ptCount val="9"/>
                <c:pt idx="0">
                  <c:v>1907329124</c:v>
                </c:pt>
                <c:pt idx="1">
                  <c:v>2954038793</c:v>
                </c:pt>
                <c:pt idx="2">
                  <c:v>4413384274</c:v>
                </c:pt>
                <c:pt idx="3">
                  <c:v>5958068769.9000006</c:v>
                </c:pt>
                <c:pt idx="4">
                  <c:v>7626328025.4720011</c:v>
                </c:pt>
                <c:pt idx="5">
                  <c:v>9304120191.0758419</c:v>
                </c:pt>
                <c:pt idx="6">
                  <c:v>10978861825.469492</c:v>
                </c:pt>
                <c:pt idx="7">
                  <c:v>12625691099.289915</c:v>
                </c:pt>
                <c:pt idx="8">
                  <c:v>16035637751.386139</c:v>
                </c:pt>
              </c:numCache>
            </c:numRef>
          </c:val>
          <c:extLst>
            <c:ext xmlns:c16="http://schemas.microsoft.com/office/drawing/2014/chart" uri="{C3380CC4-5D6E-409C-BE32-E72D297353CC}">
              <c16:uniqueId val="{00000000-1C91-4119-B586-7A4B6C90E36E}"/>
            </c:ext>
          </c:extLst>
        </c:ser>
        <c:dLbls>
          <c:showLegendKey val="0"/>
          <c:showVal val="0"/>
          <c:showCatName val="0"/>
          <c:showSerName val="0"/>
          <c:showPercent val="0"/>
          <c:showBubbleSize val="0"/>
        </c:dLbls>
        <c:gapWidth val="219"/>
        <c:overlap val="-27"/>
        <c:axId val="1661735839"/>
        <c:axId val="1553808399"/>
      </c:barChart>
      <c:catAx>
        <c:axId val="1661735839"/>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808399"/>
        <c:crosses val="autoZero"/>
        <c:auto val="1"/>
        <c:lblAlgn val="ctr"/>
        <c:lblOffset val="100"/>
        <c:noMultiLvlLbl val="0"/>
      </c:catAx>
      <c:valAx>
        <c:axId val="1553808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735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Marge EBITDA 2023-2033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Dashboard!$F$41:$N$41</c:f>
              <c:numCache>
                <c:formatCode>@</c:formatCode>
                <c:ptCount val="9"/>
                <c:pt idx="0">
                  <c:v>2023</c:v>
                </c:pt>
                <c:pt idx="1">
                  <c:v>2024</c:v>
                </c:pt>
                <c:pt idx="2">
                  <c:v>2025</c:v>
                </c:pt>
                <c:pt idx="3">
                  <c:v>2026</c:v>
                </c:pt>
                <c:pt idx="4">
                  <c:v>2027</c:v>
                </c:pt>
                <c:pt idx="5">
                  <c:v>2028</c:v>
                </c:pt>
                <c:pt idx="6">
                  <c:v>2029</c:v>
                </c:pt>
                <c:pt idx="7">
                  <c:v>2030</c:v>
                </c:pt>
                <c:pt idx="8">
                  <c:v>2033</c:v>
                </c:pt>
              </c:numCache>
            </c:numRef>
          </c:cat>
          <c:val>
            <c:numRef>
              <c:f>Dashboard!$F$42:$N$42</c:f>
              <c:numCache>
                <c:formatCode>0.0%</c:formatCode>
                <c:ptCount val="9"/>
                <c:pt idx="0">
                  <c:v>0.26781831335366324</c:v>
                </c:pt>
                <c:pt idx="1">
                  <c:v>0.28395720326615226</c:v>
                </c:pt>
                <c:pt idx="2">
                  <c:v>0.27505692267756515</c:v>
                </c:pt>
                <c:pt idx="3">
                  <c:v>0.27</c:v>
                </c:pt>
                <c:pt idx="4">
                  <c:v>0.28000000000000003</c:v>
                </c:pt>
                <c:pt idx="5">
                  <c:v>0.28999999999999998</c:v>
                </c:pt>
                <c:pt idx="6">
                  <c:v>0.3</c:v>
                </c:pt>
                <c:pt idx="7">
                  <c:v>0.30499999999999999</c:v>
                </c:pt>
                <c:pt idx="8">
                  <c:v>0.30499999999999999</c:v>
                </c:pt>
              </c:numCache>
            </c:numRef>
          </c:val>
          <c:smooth val="0"/>
          <c:extLst>
            <c:ext xmlns:c16="http://schemas.microsoft.com/office/drawing/2014/chart" uri="{C3380CC4-5D6E-409C-BE32-E72D297353CC}">
              <c16:uniqueId val="{00000000-A2A9-411F-912A-94B34B9A2E2E}"/>
            </c:ext>
          </c:extLst>
        </c:ser>
        <c:dLbls>
          <c:showLegendKey val="0"/>
          <c:showVal val="0"/>
          <c:showCatName val="0"/>
          <c:showSerName val="0"/>
          <c:showPercent val="0"/>
          <c:showBubbleSize val="0"/>
        </c:dLbls>
        <c:smooth val="0"/>
        <c:axId val="1661749759"/>
        <c:axId val="1553822799"/>
      </c:lineChart>
      <c:catAx>
        <c:axId val="1661749759"/>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822799"/>
        <c:crosses val="autoZero"/>
        <c:auto val="1"/>
        <c:lblAlgn val="ctr"/>
        <c:lblOffset val="100"/>
        <c:noMultiLvlLbl val="0"/>
      </c:catAx>
      <c:valAx>
        <c:axId val="15538227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749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FCFF par année 2026-2033 (MAD)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Dashboard!$F$11:$M$11</c:f>
              <c:numCache>
                <c:formatCode>@</c:formatCode>
                <c:ptCount val="8"/>
                <c:pt idx="0">
                  <c:v>2026</c:v>
                </c:pt>
                <c:pt idx="1">
                  <c:v>2027</c:v>
                </c:pt>
                <c:pt idx="2">
                  <c:v>2028</c:v>
                </c:pt>
                <c:pt idx="3">
                  <c:v>2029</c:v>
                </c:pt>
                <c:pt idx="4">
                  <c:v>2030</c:v>
                </c:pt>
                <c:pt idx="5">
                  <c:v>2031</c:v>
                </c:pt>
                <c:pt idx="6">
                  <c:v>2032</c:v>
                </c:pt>
                <c:pt idx="7">
                  <c:v>2033</c:v>
                </c:pt>
              </c:numCache>
            </c:numRef>
          </c:cat>
          <c:val>
            <c:numRef>
              <c:f>Dashboard!$F$12:$M$12</c:f>
              <c:numCache>
                <c:formatCode>#,##0</c:formatCode>
                <c:ptCount val="8"/>
                <c:pt idx="0">
                  <c:v>-1291878274.9350867</c:v>
                </c:pt>
                <c:pt idx="1">
                  <c:v>-1110901220.4545851</c:v>
                </c:pt>
                <c:pt idx="2">
                  <c:v>364446433.44369006</c:v>
                </c:pt>
                <c:pt idx="3">
                  <c:v>938020616.8793242</c:v>
                </c:pt>
                <c:pt idx="4">
                  <c:v>1388584102.9735761</c:v>
                </c:pt>
                <c:pt idx="5">
                  <c:v>996674924.40806234</c:v>
                </c:pt>
                <c:pt idx="6">
                  <c:v>1564871655.6100364</c:v>
                </c:pt>
                <c:pt idx="7">
                  <c:v>1909103197.9174991</c:v>
                </c:pt>
              </c:numCache>
            </c:numRef>
          </c:val>
          <c:extLst>
            <c:ext xmlns:c16="http://schemas.microsoft.com/office/drawing/2014/chart" uri="{C3380CC4-5D6E-409C-BE32-E72D297353CC}">
              <c16:uniqueId val="{00000000-E7F8-4144-BBD0-38A87954E59B}"/>
            </c:ext>
          </c:extLst>
        </c:ser>
        <c:dLbls>
          <c:showLegendKey val="0"/>
          <c:showVal val="0"/>
          <c:showCatName val="0"/>
          <c:showSerName val="0"/>
          <c:showPercent val="0"/>
          <c:showBubbleSize val="0"/>
        </c:dLbls>
        <c:gapWidth val="219"/>
        <c:overlap val="-27"/>
        <c:axId val="1661781775"/>
        <c:axId val="1553778159"/>
      </c:barChart>
      <c:catAx>
        <c:axId val="1661781775"/>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778159"/>
        <c:crosses val="autoZero"/>
        <c:auto val="1"/>
        <c:lblAlgn val="ctr"/>
        <c:lblOffset val="100"/>
        <c:noMultiLvlLbl val="0"/>
      </c:catAx>
      <c:valAx>
        <c:axId val="1553778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7817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0</xdr:colOff>
      <xdr:row>38</xdr:row>
      <xdr:rowOff>0</xdr:rowOff>
    </xdr:from>
    <xdr:to>
      <xdr:col>18</xdr:col>
      <xdr:colOff>0</xdr:colOff>
      <xdr:row>54</xdr:row>
      <xdr:rowOff>0</xdr:rowOff>
    </xdr:to>
    <xdr:graphicFrame macro="">
      <xdr:nvGraphicFramePr>
        <xdr:cNvPr id="5" name="ChartPont">
          <a:extLst>
            <a:ext uri="{FF2B5EF4-FFF2-40B4-BE49-F238E27FC236}">
              <a16:creationId xmlns:a16="http://schemas.microsoft.com/office/drawing/2014/main" id="{288C48D6-9262-39FE-DB15-FFDA0A2AF2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21</xdr:row>
      <xdr:rowOff>0</xdr:rowOff>
    </xdr:from>
    <xdr:to>
      <xdr:col>11</xdr:col>
      <xdr:colOff>0</xdr:colOff>
      <xdr:row>37</xdr:row>
      <xdr:rowOff>0</xdr:rowOff>
    </xdr:to>
    <xdr:graphicFrame macro="">
      <xdr:nvGraphicFramePr>
        <xdr:cNvPr id="6" name="ChartCA">
          <a:extLst>
            <a:ext uri="{FF2B5EF4-FFF2-40B4-BE49-F238E27FC236}">
              <a16:creationId xmlns:a16="http://schemas.microsoft.com/office/drawing/2014/main" id="{1800707D-B704-1160-B09B-C176B338C8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21</xdr:row>
      <xdr:rowOff>0</xdr:rowOff>
    </xdr:from>
    <xdr:to>
      <xdr:col>18</xdr:col>
      <xdr:colOff>0</xdr:colOff>
      <xdr:row>37</xdr:row>
      <xdr:rowOff>0</xdr:rowOff>
    </xdr:to>
    <xdr:graphicFrame macro="">
      <xdr:nvGraphicFramePr>
        <xdr:cNvPr id="7" name="ChartMarge">
          <a:extLst>
            <a:ext uri="{FF2B5EF4-FFF2-40B4-BE49-F238E27FC236}">
              <a16:creationId xmlns:a16="http://schemas.microsoft.com/office/drawing/2014/main" id="{1A2CBB4A-FED8-4FBD-5419-9B1F37A778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38</xdr:row>
      <xdr:rowOff>0</xdr:rowOff>
    </xdr:from>
    <xdr:to>
      <xdr:col>11</xdr:col>
      <xdr:colOff>0</xdr:colOff>
      <xdr:row>54</xdr:row>
      <xdr:rowOff>0</xdr:rowOff>
    </xdr:to>
    <xdr:graphicFrame macro="">
      <xdr:nvGraphicFramePr>
        <xdr:cNvPr id="8" name="ChartFCFF">
          <a:extLst>
            <a:ext uri="{FF2B5EF4-FFF2-40B4-BE49-F238E27FC236}">
              <a16:creationId xmlns:a16="http://schemas.microsoft.com/office/drawing/2014/main" id="{1E86AF3D-4CDD-9E6B-2614-47A97758A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976"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2D6BD01-7FAE-4802-9586-356812B7669C}">
  <we:reference id="wa200009404" version="1.0.0.8" store="fr-FR" storeType="OMEX"/>
  <we:alternateReferences>
    <we:reference id="wa200009404" version="1.0.0.8" store="WA200009404" storeType="OMEX"/>
  </we:alternateReferences>
  <we:properties>
    <we:property name="claude.fileId" value="&quot;0a4fd94b-6e6d-4d78-b962-335ac25dd9aa&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1"/>
  <sheetViews>
    <sheetView showGridLines="0" tabSelected="1" zoomScale="67" zoomScaleNormal="100" workbookViewId="0">
      <pane ySplit="5" topLeftCell="A6" activePane="bottomLeft" state="frozen"/>
      <selection activeCell="I1" sqref="I1"/>
      <selection pane="bottomLeft" activeCell="I1" sqref="I1"/>
    </sheetView>
  </sheetViews>
  <sheetFormatPr defaultColWidth="8.6328125" defaultRowHeight="14.5" x14ac:dyDescent="0.35"/>
  <cols>
    <col min="1" max="1" width="55" customWidth="1"/>
    <col min="2" max="4" width="16" customWidth="1"/>
    <col min="5" max="5" width="3" customWidth="1"/>
    <col min="6" max="6" width="70" customWidth="1"/>
  </cols>
  <sheetData>
    <row r="1" spans="1:5" ht="24" customHeight="1" x14ac:dyDescent="0.35">
      <c r="A1" s="4" t="s">
        <v>0</v>
      </c>
      <c r="B1" s="4"/>
      <c r="C1" s="4"/>
      <c r="D1" s="4"/>
      <c r="E1" s="4"/>
    </row>
    <row r="2" spans="1:5" x14ac:dyDescent="0.35">
      <c r="A2" s="3" t="s">
        <v>1</v>
      </c>
      <c r="B2" s="3"/>
      <c r="C2" s="3"/>
      <c r="D2" s="3"/>
      <c r="E2" s="3"/>
    </row>
    <row r="4" spans="1:5" ht="21.75" customHeight="1" x14ac:dyDescent="0.35">
      <c r="A4" s="2" t="s">
        <v>2</v>
      </c>
      <c r="B4" s="2"/>
      <c r="C4" s="2"/>
      <c r="D4" s="2"/>
      <c r="E4" s="2"/>
    </row>
    <row r="5" spans="1:5" x14ac:dyDescent="0.35">
      <c r="A5" s="6" t="s">
        <v>3</v>
      </c>
      <c r="B5" s="7" t="s">
        <v>4</v>
      </c>
      <c r="C5" s="7" t="s">
        <v>5</v>
      </c>
      <c r="D5" s="7" t="s">
        <v>6</v>
      </c>
    </row>
    <row r="6" spans="1:5" x14ac:dyDescent="0.35">
      <c r="A6" s="8" t="s">
        <v>7</v>
      </c>
      <c r="B6" s="9">
        <v>1907329124</v>
      </c>
      <c r="C6" s="9">
        <v>2954038793</v>
      </c>
      <c r="D6" s="9">
        <v>4413384274</v>
      </c>
    </row>
    <row r="7" spans="1:5" x14ac:dyDescent="0.35">
      <c r="A7" s="8" t="s">
        <v>8</v>
      </c>
      <c r="B7" s="9">
        <v>0</v>
      </c>
      <c r="C7" s="9">
        <v>0</v>
      </c>
      <c r="D7" s="9">
        <v>0</v>
      </c>
    </row>
    <row r="8" spans="1:5" x14ac:dyDescent="0.35">
      <c r="A8" s="10" t="s">
        <v>9</v>
      </c>
      <c r="B8" s="11">
        <f>SUM(B6:B7)</f>
        <v>1907329124</v>
      </c>
      <c r="C8" s="11">
        <f>SUM(C6:C7)</f>
        <v>2954038793</v>
      </c>
      <c r="D8" s="11">
        <f>SUM(D6:D7)</f>
        <v>4413384274</v>
      </c>
    </row>
    <row r="10" spans="1:5" x14ac:dyDescent="0.35">
      <c r="A10" s="8" t="s">
        <v>10</v>
      </c>
      <c r="B10" s="9">
        <v>-944664048</v>
      </c>
      <c r="C10" s="9">
        <v>-1454241960</v>
      </c>
      <c r="D10" s="9">
        <v>-2258842115</v>
      </c>
    </row>
    <row r="11" spans="1:5" x14ac:dyDescent="0.35">
      <c r="A11" s="8" t="s">
        <v>11</v>
      </c>
      <c r="B11" s="9">
        <v>-26315170</v>
      </c>
      <c r="C11" s="9">
        <v>-48051621</v>
      </c>
      <c r="D11" s="9">
        <v>-41657377</v>
      </c>
    </row>
    <row r="12" spans="1:5" x14ac:dyDescent="0.35">
      <c r="A12" s="8" t="s">
        <v>12</v>
      </c>
      <c r="B12" s="9">
        <v>-423789808</v>
      </c>
      <c r="C12" s="9">
        <v>-611133188</v>
      </c>
      <c r="D12" s="9">
        <v>-897272950</v>
      </c>
    </row>
    <row r="13" spans="1:5" x14ac:dyDescent="0.35">
      <c r="A13" s="8" t="s">
        <v>13</v>
      </c>
      <c r="B13" s="9">
        <v>-1742429</v>
      </c>
      <c r="C13" s="9">
        <v>-1791430</v>
      </c>
      <c r="D13" s="9">
        <v>-1679935</v>
      </c>
    </row>
    <row r="14" spans="1:5" x14ac:dyDescent="0.35">
      <c r="A14" s="8" t="s">
        <v>14</v>
      </c>
      <c r="B14" s="9">
        <v>-182714744</v>
      </c>
      <c r="C14" s="9">
        <v>-319562536</v>
      </c>
      <c r="D14" s="9">
        <v>-406181549</v>
      </c>
    </row>
    <row r="15" spans="1:5" x14ac:dyDescent="0.35">
      <c r="A15" s="10" t="s">
        <v>15</v>
      </c>
      <c r="B15" s="11">
        <f>SUM(B10:B14)</f>
        <v>-1579226199</v>
      </c>
      <c r="C15" s="11">
        <f>SUM(C10:C14)</f>
        <v>-2434780735</v>
      </c>
      <c r="D15" s="11">
        <f>SUM(D10:D14)</f>
        <v>-3605633926</v>
      </c>
    </row>
    <row r="17" spans="1:6" x14ac:dyDescent="0.35">
      <c r="A17" s="10" t="s">
        <v>16</v>
      </c>
      <c r="B17" s="11">
        <f>B8+B15</f>
        <v>328102925</v>
      </c>
      <c r="C17" s="11">
        <f>C8+C15</f>
        <v>519258058</v>
      </c>
      <c r="D17" s="11">
        <f>D8+D15</f>
        <v>807750348</v>
      </c>
    </row>
    <row r="19" spans="1:6" x14ac:dyDescent="0.35">
      <c r="A19" s="8" t="s">
        <v>17</v>
      </c>
      <c r="B19" s="9">
        <v>-32614564</v>
      </c>
      <c r="C19" s="9">
        <v>-57610704</v>
      </c>
      <c r="D19" s="9">
        <v>-100381147</v>
      </c>
    </row>
    <row r="21" spans="1:6" x14ac:dyDescent="0.35">
      <c r="A21" s="10" t="s">
        <v>18</v>
      </c>
      <c r="B21" s="11">
        <f>B17+B19</f>
        <v>295488361</v>
      </c>
      <c r="C21" s="11">
        <f>C17+C19</f>
        <v>461647354</v>
      </c>
      <c r="D21" s="11">
        <f>D17+D19</f>
        <v>707369201</v>
      </c>
    </row>
    <row r="23" spans="1:6" x14ac:dyDescent="0.35">
      <c r="A23" s="8" t="s">
        <v>19</v>
      </c>
      <c r="B23" s="9">
        <v>5980436</v>
      </c>
      <c r="C23" s="9">
        <v>27426983</v>
      </c>
      <c r="D23" s="9">
        <v>5438279</v>
      </c>
    </row>
    <row r="25" spans="1:6" x14ac:dyDescent="0.35">
      <c r="A25" s="10" t="s">
        <v>20</v>
      </c>
      <c r="B25" s="11">
        <f>B21+B23</f>
        <v>301468797</v>
      </c>
      <c r="C25" s="11">
        <f>C21+C23</f>
        <v>489074337</v>
      </c>
      <c r="D25" s="11">
        <f>D21+D23</f>
        <v>712807480</v>
      </c>
    </row>
    <row r="27" spans="1:6" x14ac:dyDescent="0.35">
      <c r="A27" s="8" t="s">
        <v>21</v>
      </c>
      <c r="B27" s="9">
        <v>-1240888</v>
      </c>
      <c r="C27" s="9">
        <v>-2304363</v>
      </c>
      <c r="D27" s="9">
        <v>-11312733</v>
      </c>
    </row>
    <row r="28" spans="1:6" x14ac:dyDescent="0.35">
      <c r="A28" s="8" t="s">
        <v>22</v>
      </c>
      <c r="B28" s="9">
        <v>638048</v>
      </c>
      <c r="C28" s="9">
        <v>-2000657</v>
      </c>
      <c r="D28" s="9">
        <v>0</v>
      </c>
      <c r="F28" s="5" t="s">
        <v>23</v>
      </c>
    </row>
    <row r="29" spans="1:6" x14ac:dyDescent="0.35">
      <c r="A29" s="8" t="s">
        <v>24</v>
      </c>
      <c r="B29" s="9">
        <v>-103072842</v>
      </c>
      <c r="C29" s="9">
        <v>-137215324</v>
      </c>
      <c r="D29" s="9">
        <v>-207163156</v>
      </c>
    </row>
    <row r="31" spans="1:6" x14ac:dyDescent="0.35">
      <c r="A31" s="10" t="s">
        <v>25</v>
      </c>
      <c r="B31" s="11">
        <f>B25+SUM(B27:B29)</f>
        <v>197793115</v>
      </c>
      <c r="C31" s="11">
        <f>C25+SUM(C27:C29)</f>
        <v>347553993</v>
      </c>
      <c r="D31" s="11">
        <f>D25+SUM(D27:D29)</f>
        <v>494331591</v>
      </c>
    </row>
    <row r="33" spans="1:6" x14ac:dyDescent="0.35">
      <c r="A33" s="8" t="s">
        <v>26</v>
      </c>
      <c r="B33" s="9">
        <v>174686517</v>
      </c>
      <c r="C33" s="9">
        <v>314609432</v>
      </c>
      <c r="D33" s="9">
        <v>443680156</v>
      </c>
    </row>
    <row r="34" spans="1:6" x14ac:dyDescent="0.35">
      <c r="A34" s="8" t="s">
        <v>27</v>
      </c>
      <c r="B34" s="9">
        <v>23106598</v>
      </c>
      <c r="C34" s="9">
        <v>32944560</v>
      </c>
      <c r="D34" s="9">
        <v>50651435</v>
      </c>
    </row>
    <row r="36" spans="1:6" x14ac:dyDescent="0.35">
      <c r="A36" s="5" t="s">
        <v>28</v>
      </c>
      <c r="B36" s="12">
        <f>B33+B34-B31</f>
        <v>0</v>
      </c>
      <c r="C36" s="12">
        <f>C33+C34-C31</f>
        <v>-1</v>
      </c>
      <c r="D36" s="12">
        <f>D33+D34-D31</f>
        <v>0</v>
      </c>
    </row>
    <row r="39" spans="1:6" ht="21.75" customHeight="1" x14ac:dyDescent="0.35">
      <c r="A39" s="2" t="s">
        <v>29</v>
      </c>
      <c r="B39" s="2"/>
      <c r="C39" s="2"/>
      <c r="D39" s="2"/>
      <c r="E39" s="2"/>
    </row>
    <row r="40" spans="1:6" x14ac:dyDescent="0.35">
      <c r="A40" s="6" t="s">
        <v>3</v>
      </c>
      <c r="B40" s="7" t="s">
        <v>4</v>
      </c>
      <c r="C40" s="7" t="s">
        <v>5</v>
      </c>
      <c r="D40" s="7" t="s">
        <v>6</v>
      </c>
    </row>
    <row r="41" spans="1:6" x14ac:dyDescent="0.35">
      <c r="A41" s="8" t="s">
        <v>30</v>
      </c>
      <c r="B41" s="9">
        <v>41959641</v>
      </c>
      <c r="C41" s="9">
        <v>60717438</v>
      </c>
      <c r="D41" s="9">
        <v>209957584</v>
      </c>
    </row>
    <row r="42" spans="1:6" x14ac:dyDescent="0.35">
      <c r="A42" s="8" t="s">
        <v>31</v>
      </c>
      <c r="B42" s="9">
        <v>38796413</v>
      </c>
      <c r="C42" s="9">
        <v>67812278</v>
      </c>
      <c r="D42" s="9">
        <v>173094441</v>
      </c>
    </row>
    <row r="43" spans="1:6" x14ac:dyDescent="0.35">
      <c r="A43" s="8" t="s">
        <v>32</v>
      </c>
      <c r="B43" s="9">
        <v>112912667</v>
      </c>
      <c r="C43" s="9">
        <v>191093663</v>
      </c>
      <c r="D43" s="9">
        <v>316041680</v>
      </c>
    </row>
    <row r="44" spans="1:6" x14ac:dyDescent="0.35">
      <c r="A44" s="8" t="s">
        <v>33</v>
      </c>
      <c r="B44" s="9">
        <v>2387013389</v>
      </c>
      <c r="C44" s="9">
        <v>3671502726</v>
      </c>
      <c r="D44" s="9">
        <v>5336273050</v>
      </c>
    </row>
    <row r="45" spans="1:6" x14ac:dyDescent="0.35">
      <c r="A45" s="8" t="s">
        <v>34</v>
      </c>
      <c r="B45" s="9">
        <v>25472944</v>
      </c>
      <c r="C45" s="9">
        <v>0</v>
      </c>
      <c r="D45" s="9">
        <v>0</v>
      </c>
      <c r="F45" s="5" t="s">
        <v>35</v>
      </c>
    </row>
    <row r="46" spans="1:6" x14ac:dyDescent="0.35">
      <c r="A46" s="8" t="s">
        <v>36</v>
      </c>
      <c r="B46" s="9">
        <v>127410556</v>
      </c>
      <c r="C46" s="9">
        <v>133712050</v>
      </c>
      <c r="D46" s="9">
        <v>53865121</v>
      </c>
    </row>
    <row r="47" spans="1:6" x14ac:dyDescent="0.35">
      <c r="A47" s="8" t="s">
        <v>37</v>
      </c>
      <c r="B47" s="9">
        <v>1440209</v>
      </c>
      <c r="C47" s="9">
        <v>3192600</v>
      </c>
      <c r="D47" s="9">
        <v>19367305</v>
      </c>
    </row>
    <row r="48" spans="1:6" x14ac:dyDescent="0.35">
      <c r="A48" s="10" t="s">
        <v>38</v>
      </c>
      <c r="B48" s="11">
        <f>SUM(B41:B47)</f>
        <v>2735005819</v>
      </c>
      <c r="C48" s="11">
        <f>SUM(C41:C47)</f>
        <v>4128030755</v>
      </c>
      <c r="D48" s="11">
        <f>SUM(D41:D47)</f>
        <v>6108599181</v>
      </c>
    </row>
    <row r="50" spans="1:5" x14ac:dyDescent="0.35">
      <c r="A50" s="8" t="s">
        <v>39</v>
      </c>
      <c r="B50" s="9">
        <v>98819040</v>
      </c>
      <c r="C50" s="9">
        <v>176555475</v>
      </c>
      <c r="D50" s="9">
        <v>233293462</v>
      </c>
    </row>
    <row r="51" spans="1:5" x14ac:dyDescent="0.35">
      <c r="A51" s="8" t="s">
        <v>40</v>
      </c>
      <c r="B51" s="9">
        <v>699135133</v>
      </c>
      <c r="C51" s="9">
        <v>975688986</v>
      </c>
      <c r="D51" s="9">
        <v>1524930922</v>
      </c>
    </row>
    <row r="52" spans="1:5" x14ac:dyDescent="0.35">
      <c r="A52" s="8" t="s">
        <v>41</v>
      </c>
      <c r="B52" s="9">
        <v>160233517</v>
      </c>
      <c r="C52" s="9">
        <v>189173473</v>
      </c>
      <c r="D52" s="9">
        <v>513505254</v>
      </c>
    </row>
    <row r="53" spans="1:5" x14ac:dyDescent="0.35">
      <c r="A53" s="8" t="s">
        <v>42</v>
      </c>
      <c r="B53" s="9">
        <v>0</v>
      </c>
      <c r="C53" s="9">
        <v>322529434</v>
      </c>
      <c r="D53" s="9">
        <v>601775808</v>
      </c>
    </row>
    <row r="54" spans="1:5" x14ac:dyDescent="0.35">
      <c r="A54" s="10" t="s">
        <v>43</v>
      </c>
      <c r="B54" s="11">
        <f>SUM(B50:B53)</f>
        <v>958187690</v>
      </c>
      <c r="C54" s="11">
        <f>SUM(C50:C53)</f>
        <v>1663947368</v>
      </c>
      <c r="D54" s="11">
        <f>SUM(D50:D53)</f>
        <v>2873505446</v>
      </c>
    </row>
    <row r="56" spans="1:5" x14ac:dyDescent="0.35">
      <c r="A56" s="8" t="s">
        <v>44</v>
      </c>
      <c r="B56" s="9">
        <v>206449652</v>
      </c>
      <c r="C56" s="9">
        <v>575808633</v>
      </c>
      <c r="D56" s="9">
        <v>504349961</v>
      </c>
    </row>
    <row r="58" spans="1:5" x14ac:dyDescent="0.35">
      <c r="A58" s="10" t="s">
        <v>45</v>
      </c>
      <c r="B58" s="11">
        <f>B48+B54+B56</f>
        <v>3899643161</v>
      </c>
      <c r="C58" s="11">
        <f>C48+C54+C56</f>
        <v>6367786756</v>
      </c>
      <c r="D58" s="11">
        <f>D48+D54+D56</f>
        <v>9486454588</v>
      </c>
    </row>
    <row r="61" spans="1:5" ht="21.75" customHeight="1" x14ac:dyDescent="0.35">
      <c r="A61" s="2" t="s">
        <v>46</v>
      </c>
      <c r="B61" s="2"/>
      <c r="C61" s="2"/>
      <c r="D61" s="2"/>
      <c r="E61" s="2"/>
    </row>
    <row r="62" spans="1:5" x14ac:dyDescent="0.35">
      <c r="A62" s="6" t="s">
        <v>3</v>
      </c>
      <c r="B62" s="7" t="s">
        <v>4</v>
      </c>
      <c r="C62" s="7" t="s">
        <v>5</v>
      </c>
      <c r="D62" s="7" t="s">
        <v>6</v>
      </c>
    </row>
    <row r="63" spans="1:5" x14ac:dyDescent="0.35">
      <c r="A63" s="8" t="s">
        <v>47</v>
      </c>
      <c r="B63" s="9">
        <v>126666700</v>
      </c>
      <c r="C63" s="9">
        <v>141592070</v>
      </c>
      <c r="D63" s="9">
        <v>141592070</v>
      </c>
    </row>
    <row r="64" spans="1:5" x14ac:dyDescent="0.35">
      <c r="A64" s="8" t="s">
        <v>48</v>
      </c>
      <c r="B64" s="9">
        <v>984376165</v>
      </c>
      <c r="C64" s="9">
        <v>1938787665</v>
      </c>
      <c r="D64" s="9">
        <v>1938787665</v>
      </c>
    </row>
    <row r="65" spans="1:4" x14ac:dyDescent="0.35">
      <c r="A65" s="8" t="s">
        <v>49</v>
      </c>
      <c r="B65" s="9">
        <v>116731558</v>
      </c>
      <c r="C65" s="9">
        <v>210574476</v>
      </c>
      <c r="D65" s="9">
        <v>350851259</v>
      </c>
    </row>
    <row r="66" spans="1:4" x14ac:dyDescent="0.35">
      <c r="A66" s="8" t="s">
        <v>50</v>
      </c>
      <c r="B66" s="9">
        <v>197793113</v>
      </c>
      <c r="C66" s="9">
        <v>347553992</v>
      </c>
      <c r="D66" s="9">
        <v>494331591</v>
      </c>
    </row>
    <row r="67" spans="1:4" x14ac:dyDescent="0.35">
      <c r="A67" s="10" t="s">
        <v>51</v>
      </c>
      <c r="B67" s="11">
        <f>SUM(B63:B66)</f>
        <v>1425567536</v>
      </c>
      <c r="C67" s="11">
        <f>SUM(C63:C66)</f>
        <v>2638508203</v>
      </c>
      <c r="D67" s="11">
        <f>SUM(D63:D66)</f>
        <v>2925562585</v>
      </c>
    </row>
    <row r="68" spans="1:4" x14ac:dyDescent="0.35">
      <c r="A68" s="13" t="s">
        <v>52</v>
      </c>
      <c r="B68" s="9">
        <v>1387209713</v>
      </c>
      <c r="C68" s="9">
        <v>2583560166</v>
      </c>
      <c r="D68" s="9">
        <v>2853529135</v>
      </c>
    </row>
    <row r="69" spans="1:4" x14ac:dyDescent="0.35">
      <c r="A69" s="13" t="s">
        <v>53</v>
      </c>
      <c r="B69" s="9">
        <v>38357822</v>
      </c>
      <c r="C69" s="9">
        <v>54948037</v>
      </c>
      <c r="D69" s="9">
        <v>72033450</v>
      </c>
    </row>
    <row r="71" spans="1:4" x14ac:dyDescent="0.35">
      <c r="A71" s="8" t="s">
        <v>54</v>
      </c>
      <c r="B71" s="9">
        <v>1067190582</v>
      </c>
      <c r="C71" s="9">
        <v>1428622648</v>
      </c>
      <c r="D71" s="9">
        <v>3727486430</v>
      </c>
    </row>
    <row r="72" spans="1:4" x14ac:dyDescent="0.35">
      <c r="A72" s="8" t="s">
        <v>55</v>
      </c>
      <c r="B72" s="9">
        <v>669012</v>
      </c>
      <c r="C72" s="9">
        <v>629658</v>
      </c>
      <c r="D72" s="9">
        <v>590304</v>
      </c>
    </row>
    <row r="73" spans="1:4" x14ac:dyDescent="0.35">
      <c r="A73" s="8" t="s">
        <v>56</v>
      </c>
      <c r="B73" s="9">
        <v>10853448</v>
      </c>
      <c r="C73" s="9">
        <v>4942892</v>
      </c>
      <c r="D73" s="9">
        <v>6241613</v>
      </c>
    </row>
    <row r="74" spans="1:4" x14ac:dyDescent="0.35">
      <c r="A74" s="10" t="s">
        <v>57</v>
      </c>
      <c r="B74" s="11">
        <f>SUM(B71:B73)</f>
        <v>1078713042</v>
      </c>
      <c r="C74" s="11">
        <f>SUM(C71:C73)</f>
        <v>1434195198</v>
      </c>
      <c r="D74" s="11">
        <f>SUM(D71:D73)</f>
        <v>3734318347</v>
      </c>
    </row>
    <row r="76" spans="1:4" x14ac:dyDescent="0.35">
      <c r="A76" s="8" t="s">
        <v>58</v>
      </c>
      <c r="B76" s="9">
        <v>525347738</v>
      </c>
      <c r="C76" s="9">
        <v>527510803</v>
      </c>
      <c r="D76" s="9">
        <v>623581373</v>
      </c>
    </row>
    <row r="77" spans="1:4" x14ac:dyDescent="0.35">
      <c r="A77" s="8" t="s">
        <v>59</v>
      </c>
      <c r="B77" s="9">
        <v>751468049</v>
      </c>
      <c r="C77" s="9">
        <v>1524912274</v>
      </c>
      <c r="D77" s="9">
        <v>1453485752</v>
      </c>
    </row>
    <row r="78" spans="1:4" x14ac:dyDescent="0.35">
      <c r="A78" s="10" t="s">
        <v>60</v>
      </c>
      <c r="B78" s="11">
        <f>SUM(B76:B77)</f>
        <v>1276815787</v>
      </c>
      <c r="C78" s="11">
        <f>SUM(C76:C77)</f>
        <v>2052423077</v>
      </c>
      <c r="D78" s="11">
        <f>SUM(D76:D77)</f>
        <v>2077067125</v>
      </c>
    </row>
    <row r="80" spans="1:4" x14ac:dyDescent="0.35">
      <c r="A80" s="8" t="s">
        <v>61</v>
      </c>
      <c r="B80" s="9">
        <v>118546796</v>
      </c>
      <c r="C80" s="9">
        <v>242660277</v>
      </c>
      <c r="D80" s="9">
        <v>749506532</v>
      </c>
    </row>
    <row r="82" spans="1:6" x14ac:dyDescent="0.35">
      <c r="A82" s="10" t="s">
        <v>62</v>
      </c>
      <c r="B82" s="11">
        <f>B67+B74+B78+B80</f>
        <v>3899643161</v>
      </c>
      <c r="C82" s="11">
        <f>C67+C74+C78+C80</f>
        <v>6367786755</v>
      </c>
      <c r="D82" s="11">
        <f>D67+D74+D78+D80</f>
        <v>9486454589</v>
      </c>
    </row>
    <row r="84" spans="1:6" x14ac:dyDescent="0.35">
      <c r="A84" s="5" t="s">
        <v>63</v>
      </c>
      <c r="B84" s="12">
        <f>B58-B82</f>
        <v>0</v>
      </c>
      <c r="C84" s="12">
        <f>C58-C82</f>
        <v>1</v>
      </c>
      <c r="D84" s="12">
        <f>D58-D82</f>
        <v>-1</v>
      </c>
    </row>
    <row r="87" spans="1:6" ht="21.75" customHeight="1" x14ac:dyDescent="0.35">
      <c r="A87" s="2" t="s">
        <v>64</v>
      </c>
      <c r="B87" s="2"/>
      <c r="C87" s="2"/>
      <c r="D87" s="2"/>
      <c r="E87" s="2"/>
    </row>
    <row r="88" spans="1:6" x14ac:dyDescent="0.35">
      <c r="A88" s="6" t="s">
        <v>3</v>
      </c>
      <c r="B88" s="7" t="s">
        <v>4</v>
      </c>
      <c r="C88" s="7" t="s">
        <v>5</v>
      </c>
      <c r="D88" s="7" t="s">
        <v>6</v>
      </c>
    </row>
    <row r="89" spans="1:6" x14ac:dyDescent="0.35">
      <c r="A89" s="8" t="s">
        <v>65</v>
      </c>
      <c r="B89" s="9">
        <v>197793116</v>
      </c>
      <c r="C89" s="9">
        <v>347553992</v>
      </c>
      <c r="D89" s="9">
        <v>494331591</v>
      </c>
    </row>
    <row r="90" spans="1:6" x14ac:dyDescent="0.35">
      <c r="A90" s="8" t="s">
        <v>66</v>
      </c>
      <c r="B90" s="9">
        <v>211570877</v>
      </c>
      <c r="C90" s="9">
        <v>321776864</v>
      </c>
      <c r="D90" s="9">
        <v>495405547</v>
      </c>
      <c r="F90" s="5" t="s">
        <v>67</v>
      </c>
    </row>
    <row r="91" spans="1:6" x14ac:dyDescent="0.35">
      <c r="A91" s="8" t="s">
        <v>68</v>
      </c>
      <c r="B91" s="9">
        <v>1333440</v>
      </c>
      <c r="C91" s="9">
        <v>-7662947</v>
      </c>
      <c r="D91" s="9">
        <v>-14875985</v>
      </c>
    </row>
    <row r="92" spans="1:6" x14ac:dyDescent="0.35">
      <c r="A92" s="8" t="s">
        <v>69</v>
      </c>
      <c r="B92" s="9">
        <v>-643262</v>
      </c>
      <c r="C92" s="9">
        <v>-27126559</v>
      </c>
      <c r="D92" s="9">
        <v>-19555192</v>
      </c>
    </row>
    <row r="93" spans="1:6" x14ac:dyDescent="0.35">
      <c r="A93" s="8" t="s">
        <v>70</v>
      </c>
      <c r="B93" s="9">
        <v>-638048</v>
      </c>
      <c r="C93" s="9">
        <v>2000657</v>
      </c>
      <c r="D93" s="9">
        <v>0</v>
      </c>
    </row>
    <row r="94" spans="1:6" x14ac:dyDescent="0.35">
      <c r="A94" s="10" t="s">
        <v>71</v>
      </c>
      <c r="B94" s="11">
        <f>SUM(B89:B93)</f>
        <v>409416123</v>
      </c>
      <c r="C94" s="11">
        <f>SUM(C89:C93)</f>
        <v>636542007</v>
      </c>
      <c r="D94" s="11">
        <f>SUM(D89:D93)</f>
        <v>955305961</v>
      </c>
    </row>
    <row r="96" spans="1:6" x14ac:dyDescent="0.35">
      <c r="A96" s="8" t="s">
        <v>72</v>
      </c>
      <c r="B96" s="9">
        <v>-170040216</v>
      </c>
      <c r="C96" s="9">
        <v>-467189061</v>
      </c>
      <c r="D96" s="9">
        <v>-803125603</v>
      </c>
    </row>
    <row r="98" spans="1:6" x14ac:dyDescent="0.35">
      <c r="A98" s="10" t="s">
        <v>73</v>
      </c>
      <c r="B98" s="11">
        <f>B94+B96</f>
        <v>239375907</v>
      </c>
      <c r="C98" s="11">
        <f>C94+C96</f>
        <v>169352946</v>
      </c>
      <c r="D98" s="11">
        <f>D94+D96</f>
        <v>152180358</v>
      </c>
    </row>
    <row r="100" spans="1:6" x14ac:dyDescent="0.35">
      <c r="A100" s="8" t="s">
        <v>74</v>
      </c>
      <c r="B100" s="9">
        <v>-995386191</v>
      </c>
      <c r="C100" s="9">
        <v>-2604810300</v>
      </c>
      <c r="D100" s="9">
        <v>-2218304904</v>
      </c>
      <c r="F100" s="5" t="s">
        <v>75</v>
      </c>
    </row>
    <row r="101" spans="1:6" x14ac:dyDescent="0.35">
      <c r="A101" s="8" t="s">
        <v>76</v>
      </c>
      <c r="B101" s="9">
        <v>0</v>
      </c>
      <c r="C101" s="9">
        <v>385295415</v>
      </c>
      <c r="D101" s="9">
        <v>446609439</v>
      </c>
    </row>
    <row r="102" spans="1:6" x14ac:dyDescent="0.35">
      <c r="A102" s="8" t="s">
        <v>77</v>
      </c>
      <c r="B102" s="9">
        <v>0</v>
      </c>
      <c r="C102" s="9">
        <v>17942497</v>
      </c>
      <c r="D102" s="9">
        <v>-448818264</v>
      </c>
    </row>
    <row r="103" spans="1:6" x14ac:dyDescent="0.35">
      <c r="A103" s="10" t="s">
        <v>78</v>
      </c>
      <c r="B103" s="11">
        <f>SUM(B100:B102)</f>
        <v>-995386191</v>
      </c>
      <c r="C103" s="11">
        <f>SUM(C100:C102)</f>
        <v>-2201572388</v>
      </c>
      <c r="D103" s="11">
        <f>SUM(D100:D102)</f>
        <v>-2220513729</v>
      </c>
    </row>
    <row r="105" spans="1:6" x14ac:dyDescent="0.35">
      <c r="A105" s="8" t="s">
        <v>79</v>
      </c>
      <c r="B105" s="9">
        <v>-52406992</v>
      </c>
      <c r="C105" s="9">
        <v>-84955243</v>
      </c>
      <c r="D105" s="9">
        <v>-141592068</v>
      </c>
    </row>
    <row r="106" spans="1:6" x14ac:dyDescent="0.35">
      <c r="A106" s="8" t="s">
        <v>80</v>
      </c>
      <c r="B106" s="9">
        <v>0</v>
      </c>
      <c r="C106" s="9">
        <v>-21029311</v>
      </c>
      <c r="D106" s="9">
        <v>-35093300</v>
      </c>
    </row>
    <row r="107" spans="1:6" x14ac:dyDescent="0.35">
      <c r="A107" s="8" t="s">
        <v>81</v>
      </c>
      <c r="B107" s="9">
        <v>2680000</v>
      </c>
      <c r="C107" s="9">
        <v>974751823</v>
      </c>
      <c r="D107" s="9">
        <v>1307162</v>
      </c>
    </row>
    <row r="108" spans="1:6" x14ac:dyDescent="0.35">
      <c r="A108" s="8" t="s">
        <v>82</v>
      </c>
      <c r="B108" s="9">
        <v>644860536</v>
      </c>
      <c r="C108" s="9">
        <v>350255159</v>
      </c>
      <c r="D108" s="9">
        <v>2260892340</v>
      </c>
    </row>
    <row r="109" spans="1:6" x14ac:dyDescent="0.35">
      <c r="A109" s="8" t="s">
        <v>83</v>
      </c>
      <c r="B109" s="9">
        <v>0</v>
      </c>
      <c r="C109" s="9">
        <v>735920253</v>
      </c>
      <c r="D109" s="9">
        <v>-303911964</v>
      </c>
    </row>
    <row r="110" spans="1:6" x14ac:dyDescent="0.35">
      <c r="A110" s="10" t="s">
        <v>84</v>
      </c>
      <c r="B110" s="11">
        <f>SUM(B105:B109)</f>
        <v>595133544</v>
      </c>
      <c r="C110" s="11">
        <f>SUM(C105:C109)</f>
        <v>1954942681</v>
      </c>
      <c r="D110" s="11">
        <f>SUM(D105:D109)</f>
        <v>1781602170</v>
      </c>
    </row>
    <row r="112" spans="1:6" x14ac:dyDescent="0.35">
      <c r="A112" s="8" t="s">
        <v>85</v>
      </c>
      <c r="B112" s="9">
        <v>0</v>
      </c>
      <c r="C112" s="9">
        <v>0</v>
      </c>
      <c r="D112" s="9">
        <v>-12327351</v>
      </c>
    </row>
    <row r="114" spans="1:6" x14ac:dyDescent="0.35">
      <c r="A114" s="10" t="s">
        <v>86</v>
      </c>
      <c r="B114" s="11">
        <f>B98+B103+B110+B112</f>
        <v>-160876740</v>
      </c>
      <c r="C114" s="11">
        <f>C98+C103+C110+C112</f>
        <v>-77276761</v>
      </c>
      <c r="D114" s="11">
        <f>D98+D103+D110+D112</f>
        <v>-299058552</v>
      </c>
    </row>
    <row r="116" spans="1:6" x14ac:dyDescent="0.35">
      <c r="A116" s="8" t="s">
        <v>87</v>
      </c>
      <c r="B116" s="9">
        <v>0</v>
      </c>
      <c r="C116" s="9">
        <v>322522259</v>
      </c>
      <c r="D116" s="9">
        <v>-279246374</v>
      </c>
      <c r="F116" s="5" t="s">
        <v>88</v>
      </c>
    </row>
    <row r="118" spans="1:6" x14ac:dyDescent="0.35">
      <c r="A118" s="10" t="s">
        <v>89</v>
      </c>
      <c r="B118" s="11">
        <f>B114+B116</f>
        <v>-160876740</v>
      </c>
      <c r="C118" s="11">
        <f>C114+C116</f>
        <v>245245498</v>
      </c>
      <c r="D118" s="11">
        <f>D114+D116</f>
        <v>-578304926</v>
      </c>
    </row>
    <row r="120" spans="1:6" x14ac:dyDescent="0.35">
      <c r="A120" s="8" t="s">
        <v>90</v>
      </c>
      <c r="B120" s="9">
        <v>248779596</v>
      </c>
      <c r="C120" s="9">
        <v>87902856</v>
      </c>
      <c r="D120" s="9">
        <v>333148356</v>
      </c>
    </row>
    <row r="121" spans="1:6" x14ac:dyDescent="0.35">
      <c r="A121" s="10" t="s">
        <v>91</v>
      </c>
      <c r="B121" s="11">
        <f>B120+B118</f>
        <v>87902856</v>
      </c>
      <c r="C121" s="11">
        <f>C120+C118</f>
        <v>333148354</v>
      </c>
      <c r="D121" s="11">
        <f>D120+D118</f>
        <v>-245156570</v>
      </c>
    </row>
    <row r="123" spans="1:6" x14ac:dyDescent="0.35">
      <c r="A123" s="5" t="s">
        <v>92</v>
      </c>
      <c r="B123" s="12">
        <f>B121-87902856</f>
        <v>0</v>
      </c>
      <c r="C123" s="12">
        <f>C121-333148356</f>
        <v>-2</v>
      </c>
      <c r="D123" s="12">
        <f>D121-(-245156571)</f>
        <v>1</v>
      </c>
    </row>
    <row r="126" spans="1:6" ht="21.75" customHeight="1" x14ac:dyDescent="0.35">
      <c r="A126" s="2" t="s">
        <v>93</v>
      </c>
      <c r="B126" s="2"/>
      <c r="C126" s="2"/>
      <c r="D126" s="2"/>
      <c r="E126" s="2"/>
    </row>
    <row r="127" spans="1:6" ht="15" customHeight="1" x14ac:dyDescent="0.35">
      <c r="A127" s="1" t="s">
        <v>94</v>
      </c>
      <c r="B127" s="1"/>
      <c r="C127" s="1"/>
      <c r="D127" s="1"/>
      <c r="E127" s="1"/>
      <c r="F127" s="1"/>
    </row>
    <row r="128" spans="1:6" ht="15" customHeight="1" x14ac:dyDescent="0.35">
      <c r="A128" s="1" t="s">
        <v>95</v>
      </c>
      <c r="B128" s="1"/>
      <c r="C128" s="1"/>
      <c r="D128" s="1"/>
      <c r="E128" s="1"/>
      <c r="F128" s="1"/>
    </row>
    <row r="129" spans="1:6" ht="15" customHeight="1" x14ac:dyDescent="0.35">
      <c r="A129" s="1" t="s">
        <v>96</v>
      </c>
      <c r="B129" s="1"/>
      <c r="C129" s="1"/>
      <c r="D129" s="1"/>
      <c r="E129" s="1"/>
      <c r="F129" s="1"/>
    </row>
    <row r="130" spans="1:6" ht="15" customHeight="1" x14ac:dyDescent="0.35">
      <c r="A130" s="1" t="s">
        <v>97</v>
      </c>
      <c r="B130" s="1"/>
      <c r="C130" s="1"/>
      <c r="D130" s="1"/>
      <c r="E130" s="1"/>
      <c r="F130" s="1"/>
    </row>
    <row r="131" spans="1:6" ht="15" customHeight="1" x14ac:dyDescent="0.35">
      <c r="A131" s="1" t="s">
        <v>98</v>
      </c>
      <c r="B131" s="1"/>
      <c r="C131" s="1"/>
      <c r="D131" s="1"/>
      <c r="E131" s="1"/>
      <c r="F131" s="1"/>
    </row>
  </sheetData>
  <mergeCells count="12">
    <mergeCell ref="A130:F130"/>
    <mergeCell ref="A131:F131"/>
    <mergeCell ref="A87:E87"/>
    <mergeCell ref="A126:E126"/>
    <mergeCell ref="A127:F127"/>
    <mergeCell ref="A128:F128"/>
    <mergeCell ref="A129:F129"/>
    <mergeCell ref="A1:E1"/>
    <mergeCell ref="A2:E2"/>
    <mergeCell ref="A4:E4"/>
    <mergeCell ref="A39:E39"/>
    <mergeCell ref="A61:E61"/>
  </mergeCells>
  <pageMargins left="0.41666666666666669" right="0.41666666666666669" top="0.69444444444444442" bottom="0.55555555555555558" header="0.511811023622047" footer="0.511811023622047"/>
  <pageSetup paperSize="9" scale="78" fitToHeight="0" orientation="landscape" r:id="rId1"/>
  <headerFooter>
    <oddHeader>&amp;CAKDITAL S.A. — Données historiques 2023-2025</oddHeader>
    <oddFooter>&amp;CPage &amp;P sur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B7024-6648-4B8D-81AB-4B834409AEE7}">
  <sheetPr>
    <pageSetUpPr fitToPage="1"/>
  </sheetPr>
  <dimension ref="A1:I54"/>
  <sheetViews>
    <sheetView showGridLines="0" showRowColHeaders="0" zoomScale="54" workbookViewId="0">
      <pane ySplit="5" topLeftCell="A6" activePane="bottomLeft" state="frozen"/>
      <selection activeCell="U4" sqref="U4"/>
      <selection pane="bottomLeft" activeCell="U4" sqref="U4"/>
    </sheetView>
  </sheetViews>
  <sheetFormatPr defaultRowHeight="14.5" x14ac:dyDescent="0.35"/>
  <cols>
    <col min="1" max="1" width="78.1796875" customWidth="1"/>
    <col min="2" max="9" width="17.26953125" customWidth="1"/>
  </cols>
  <sheetData>
    <row r="1" spans="1:9" ht="22" customHeight="1" x14ac:dyDescent="0.45">
      <c r="A1" s="14" t="s">
        <v>99</v>
      </c>
    </row>
    <row r="2" spans="1:9" x14ac:dyDescent="0.35">
      <c r="A2" s="16" t="s">
        <v>100</v>
      </c>
    </row>
    <row r="4" spans="1:9" x14ac:dyDescent="0.35">
      <c r="B4" s="19" t="s">
        <v>101</v>
      </c>
      <c r="E4" s="20" t="s">
        <v>102</v>
      </c>
    </row>
    <row r="5" spans="1:9" x14ac:dyDescent="0.35">
      <c r="B5" s="22">
        <v>2023</v>
      </c>
      <c r="C5" s="22">
        <v>2024</v>
      </c>
      <c r="D5" s="22">
        <v>2025</v>
      </c>
      <c r="E5" s="22">
        <v>2026</v>
      </c>
      <c r="F5" s="22">
        <v>2027</v>
      </c>
      <c r="G5" s="22">
        <v>2028</v>
      </c>
      <c r="H5" s="22">
        <v>2029</v>
      </c>
      <c r="I5" s="22">
        <v>2030</v>
      </c>
    </row>
    <row r="7" spans="1:9" x14ac:dyDescent="0.35">
      <c r="A7" s="23" t="s">
        <v>103</v>
      </c>
      <c r="B7" s="24"/>
      <c r="C7" s="24"/>
      <c r="D7" s="24"/>
      <c r="E7" s="24"/>
      <c r="F7" s="24"/>
      <c r="G7" s="24"/>
      <c r="H7" s="24"/>
      <c r="I7" s="24"/>
    </row>
    <row r="8" spans="1:9" x14ac:dyDescent="0.35">
      <c r="A8" t="s">
        <v>104</v>
      </c>
      <c r="B8" s="25">
        <f>'Donnees historiques'!B6</f>
        <v>1907329124</v>
      </c>
      <c r="C8" s="25">
        <f>'Donnees historiques'!C6</f>
        <v>2954038793</v>
      </c>
      <c r="D8" s="25">
        <f>'Donnees historiques'!D6</f>
        <v>4413384274</v>
      </c>
    </row>
    <row r="9" spans="1:9" x14ac:dyDescent="0.35">
      <c r="A9" t="s">
        <v>105</v>
      </c>
      <c r="C9" s="26">
        <f>C8/B8-1</f>
        <v>0.54878293202217154</v>
      </c>
      <c r="D9" s="26">
        <f>D8/C8-1</f>
        <v>0.49401703337753022</v>
      </c>
    </row>
    <row r="10" spans="1:9" x14ac:dyDescent="0.35">
      <c r="A10" t="s">
        <v>106</v>
      </c>
      <c r="D10" s="26">
        <f>(D8/B8)^(1/2)-1</f>
        <v>0.52115353644709961</v>
      </c>
    </row>
    <row r="11" spans="1:9" x14ac:dyDescent="0.35">
      <c r="A11" s="17" t="s">
        <v>107</v>
      </c>
      <c r="E11" s="27">
        <v>0.35</v>
      </c>
      <c r="F11" s="27">
        <v>0.28000000000000003</v>
      </c>
      <c r="G11" s="27">
        <v>0.22</v>
      </c>
      <c r="H11" s="27">
        <v>0.18</v>
      </c>
      <c r="I11" s="27">
        <v>0.15</v>
      </c>
    </row>
    <row r="12" spans="1:9" x14ac:dyDescent="0.35">
      <c r="A12" s="17" t="s">
        <v>108</v>
      </c>
      <c r="E12" s="28">
        <f>D8*(1+E11)</f>
        <v>5958068769.9000006</v>
      </c>
      <c r="F12" s="28">
        <f>E12*(1+F11)</f>
        <v>7626328025.4720011</v>
      </c>
      <c r="G12" s="28">
        <f>F12*(1+G11)</f>
        <v>9304120191.0758419</v>
      </c>
      <c r="H12" s="28">
        <f>G12*(1+H11)</f>
        <v>10978861825.469492</v>
      </c>
      <c r="I12" s="28">
        <f>H12*(1+I11)</f>
        <v>12625691099.289915</v>
      </c>
    </row>
    <row r="13" spans="1:9" x14ac:dyDescent="0.35">
      <c r="A13" s="29" t="s">
        <v>109</v>
      </c>
    </row>
    <row r="15" spans="1:9" x14ac:dyDescent="0.35">
      <c r="A15" s="23" t="s">
        <v>110</v>
      </c>
      <c r="B15" s="24"/>
      <c r="C15" s="24"/>
      <c r="D15" s="24"/>
      <c r="E15" s="24"/>
      <c r="F15" s="24"/>
      <c r="G15" s="24"/>
      <c r="H15" s="24"/>
      <c r="I15" s="24"/>
    </row>
    <row r="16" spans="1:9" x14ac:dyDescent="0.35">
      <c r="A16" t="s">
        <v>111</v>
      </c>
      <c r="B16" s="25">
        <f>'Donnees historiques'!B17-'Donnees historiques'!B14</f>
        <v>510817669</v>
      </c>
      <c r="C16" s="25">
        <f>'Donnees historiques'!C17-'Donnees historiques'!C14</f>
        <v>838820594</v>
      </c>
      <c r="D16" s="25">
        <f>'Donnees historiques'!D17-'Donnees historiques'!D14</f>
        <v>1213931897</v>
      </c>
    </row>
    <row r="17" spans="1:9" x14ac:dyDescent="0.35">
      <c r="A17" t="s">
        <v>112</v>
      </c>
      <c r="B17" s="26">
        <f>B16/B8</f>
        <v>0.26781831335366324</v>
      </c>
      <c r="C17" s="26">
        <f>C16/C8</f>
        <v>0.28395720326615226</v>
      </c>
      <c r="D17" s="26">
        <f>D16/D8</f>
        <v>0.27505692267756515</v>
      </c>
    </row>
    <row r="18" spans="1:9" x14ac:dyDescent="0.35">
      <c r="A18" s="17" t="s">
        <v>113</v>
      </c>
      <c r="E18" s="27">
        <v>0.27</v>
      </c>
      <c r="F18" s="27">
        <v>0.28000000000000003</v>
      </c>
      <c r="G18" s="27">
        <v>0.28999999999999998</v>
      </c>
      <c r="H18" s="27">
        <v>0.3</v>
      </c>
      <c r="I18" s="27">
        <v>0.30499999999999999</v>
      </c>
    </row>
    <row r="19" spans="1:9" x14ac:dyDescent="0.35">
      <c r="A19" s="17" t="s">
        <v>114</v>
      </c>
      <c r="E19" s="28">
        <f>E12*E18</f>
        <v>1608678567.8730001</v>
      </c>
      <c r="F19" s="28">
        <f>F12*F18</f>
        <v>2135371847.1321604</v>
      </c>
      <c r="G19" s="28">
        <f>G12*G18</f>
        <v>2698194855.411994</v>
      </c>
      <c r="H19" s="28">
        <f>H12*H18</f>
        <v>3293658547.6408477</v>
      </c>
      <c r="I19" s="28">
        <f>I12*I18</f>
        <v>3850835785.2834239</v>
      </c>
    </row>
    <row r="20" spans="1:9" x14ac:dyDescent="0.35">
      <c r="A20" s="29" t="s">
        <v>115</v>
      </c>
    </row>
    <row r="22" spans="1:9" x14ac:dyDescent="0.35">
      <c r="A22" s="23" t="s">
        <v>116</v>
      </c>
      <c r="B22" s="24"/>
      <c r="C22" s="24"/>
      <c r="D22" s="24"/>
      <c r="E22" s="24"/>
      <c r="F22" s="24"/>
      <c r="G22" s="24"/>
      <c r="H22" s="24"/>
      <c r="I22" s="24"/>
    </row>
    <row r="23" spans="1:9" x14ac:dyDescent="0.35">
      <c r="A23" t="s">
        <v>117</v>
      </c>
      <c r="B23" s="25">
        <f>('Donnees historiques'!B50+'Donnees historiques'!B51+'Donnees historiques'!B52)-('Donnees historiques'!B76+'Donnees historiques'!B77)</f>
        <v>-318628097</v>
      </c>
      <c r="C23" s="25">
        <f>('Donnees historiques'!C50+'Donnees historiques'!C51+'Donnees historiques'!C52)-('Donnees historiques'!C76+'Donnees historiques'!C77)</f>
        <v>-711005143</v>
      </c>
      <c r="D23" s="25">
        <f>('Donnees historiques'!D50+'Donnees historiques'!D51+'Donnees historiques'!D52)-('Donnees historiques'!D76+'Donnees historiques'!D77)</f>
        <v>194662513</v>
      </c>
    </row>
    <row r="24" spans="1:9" x14ac:dyDescent="0.35">
      <c r="A24" t="s">
        <v>118</v>
      </c>
      <c r="B24" s="26">
        <f>B23/B8</f>
        <v>-0.16705459639382092</v>
      </c>
      <c r="C24" s="26">
        <f>C23/C8</f>
        <v>-0.24068916924341827</v>
      </c>
      <c r="D24" s="26">
        <f>D23/D8</f>
        <v>4.4107311059857192E-2</v>
      </c>
    </row>
    <row r="25" spans="1:9" x14ac:dyDescent="0.35">
      <c r="A25" s="17" t="s">
        <v>119</v>
      </c>
      <c r="E25" s="27">
        <v>0.05</v>
      </c>
      <c r="F25" s="27">
        <v>0.06</v>
      </c>
      <c r="G25" s="27">
        <v>0.06</v>
      </c>
      <c r="H25" s="27">
        <v>0.06</v>
      </c>
      <c r="I25" s="27">
        <v>0.06</v>
      </c>
    </row>
    <row r="26" spans="1:9" x14ac:dyDescent="0.35">
      <c r="A26" s="17" t="s">
        <v>120</v>
      </c>
      <c r="E26" s="28">
        <f>E12*E25</f>
        <v>297903438.49500006</v>
      </c>
      <c r="F26" s="28">
        <f>F12*F25</f>
        <v>457579681.52832007</v>
      </c>
      <c r="G26" s="28">
        <f>G12*G25</f>
        <v>558247211.4645505</v>
      </c>
      <c r="H26" s="28">
        <f>H12*H25</f>
        <v>658731709.52816951</v>
      </c>
      <c r="I26" s="28">
        <f>I12*I25</f>
        <v>757541465.95739484</v>
      </c>
    </row>
    <row r="27" spans="1:9" x14ac:dyDescent="0.35">
      <c r="A27" s="29" t="s">
        <v>121</v>
      </c>
    </row>
    <row r="29" spans="1:9" x14ac:dyDescent="0.35">
      <c r="A29" s="23" t="s">
        <v>122</v>
      </c>
      <c r="B29" s="24"/>
      <c r="C29" s="24"/>
      <c r="D29" s="24"/>
      <c r="E29" s="24"/>
      <c r="F29" s="24"/>
      <c r="G29" s="24"/>
      <c r="H29" s="24"/>
      <c r="I29" s="24"/>
    </row>
    <row r="30" spans="1:9" x14ac:dyDescent="0.35">
      <c r="A30" t="s">
        <v>123</v>
      </c>
      <c r="B30" s="25">
        <f>-'Donnees historiques'!B100</f>
        <v>995386191</v>
      </c>
      <c r="C30" s="25">
        <f>-'Donnees historiques'!C100</f>
        <v>2604810300</v>
      </c>
      <c r="D30" s="25">
        <f>-'Donnees historiques'!D100</f>
        <v>2218304904</v>
      </c>
    </row>
    <row r="31" spans="1:9" x14ac:dyDescent="0.35">
      <c r="A31" t="s">
        <v>124</v>
      </c>
      <c r="B31" s="26">
        <f>B30/B8</f>
        <v>0.52187437316140939</v>
      </c>
      <c r="C31" s="26">
        <f>C30/C8</f>
        <v>0.88177931385750763</v>
      </c>
      <c r="D31" s="26">
        <f>D30/D8</f>
        <v>0.50263126124512036</v>
      </c>
    </row>
    <row r="32" spans="1:9" x14ac:dyDescent="0.35">
      <c r="A32" s="17" t="s">
        <v>125</v>
      </c>
      <c r="E32" s="27">
        <v>0.42</v>
      </c>
      <c r="F32" s="27">
        <v>0.35</v>
      </c>
      <c r="G32" s="27">
        <v>0.18</v>
      </c>
      <c r="H32" s="27">
        <v>0.14000000000000001</v>
      </c>
      <c r="I32" s="27">
        <v>0.12</v>
      </c>
    </row>
    <row r="33" spans="1:9" x14ac:dyDescent="0.35">
      <c r="A33" s="17" t="s">
        <v>126</v>
      </c>
      <c r="E33" s="28">
        <f>E12*E32</f>
        <v>2502388883.3580003</v>
      </c>
      <c r="F33" s="28">
        <f>F12*F32</f>
        <v>2669214808.9152002</v>
      </c>
      <c r="G33" s="28">
        <f>G12*G32</f>
        <v>1674741634.3936515</v>
      </c>
      <c r="H33" s="28">
        <f>H12*H32</f>
        <v>1537040655.5657289</v>
      </c>
      <c r="I33" s="28">
        <f>I12*I32</f>
        <v>1515082931.9147897</v>
      </c>
    </row>
    <row r="34" spans="1:9" x14ac:dyDescent="0.35">
      <c r="A34" s="48" t="s">
        <v>259</v>
      </c>
    </row>
    <row r="36" spans="1:9" x14ac:dyDescent="0.35">
      <c r="A36" s="23" t="s">
        <v>127</v>
      </c>
      <c r="B36" s="24"/>
      <c r="C36" s="24"/>
      <c r="D36" s="24"/>
      <c r="E36" s="24"/>
      <c r="F36" s="24"/>
      <c r="G36" s="24"/>
      <c r="H36" s="24"/>
      <c r="I36" s="24"/>
    </row>
    <row r="37" spans="1:9" x14ac:dyDescent="0.35">
      <c r="A37" t="s">
        <v>128</v>
      </c>
      <c r="B37" s="25">
        <f>'Donnees historiques'!B25</f>
        <v>301468797</v>
      </c>
      <c r="C37" s="25">
        <f>'Donnees historiques'!C25</f>
        <v>489074337</v>
      </c>
      <c r="D37" s="25">
        <f>'Donnees historiques'!D25</f>
        <v>712807480</v>
      </c>
    </row>
    <row r="38" spans="1:9" x14ac:dyDescent="0.35">
      <c r="A38" t="s">
        <v>129</v>
      </c>
      <c r="B38" s="25">
        <f>'Donnees historiques'!B29</f>
        <v>-103072842</v>
      </c>
      <c r="C38" s="25">
        <f>'Donnees historiques'!C29</f>
        <v>-137215324</v>
      </c>
      <c r="D38" s="25">
        <f>'Donnees historiques'!D29</f>
        <v>-207163156</v>
      </c>
    </row>
    <row r="39" spans="1:9" x14ac:dyDescent="0.35">
      <c r="A39" t="s">
        <v>130</v>
      </c>
      <c r="B39" s="26">
        <f>-B38/B37</f>
        <v>0.34190219029533592</v>
      </c>
      <c r="C39" s="26">
        <f>-C38/C37</f>
        <v>0.28056128408144221</v>
      </c>
      <c r="D39" s="26">
        <f>-D38/D37</f>
        <v>0.29062988508481979</v>
      </c>
    </row>
    <row r="40" spans="1:9" x14ac:dyDescent="0.35">
      <c r="A40" s="17" t="s">
        <v>131</v>
      </c>
      <c r="E40" s="27">
        <v>0.3</v>
      </c>
      <c r="F40" s="27">
        <v>0.31</v>
      </c>
      <c r="G40" s="27">
        <v>0.32</v>
      </c>
      <c r="H40" s="27">
        <v>0.33</v>
      </c>
      <c r="I40" s="27">
        <v>0.33</v>
      </c>
    </row>
    <row r="41" spans="1:9" x14ac:dyDescent="0.35">
      <c r="A41" s="29" t="s">
        <v>132</v>
      </c>
    </row>
    <row r="43" spans="1:9" x14ac:dyDescent="0.35">
      <c r="A43" s="23" t="s">
        <v>133</v>
      </c>
      <c r="B43" s="24"/>
      <c r="C43" s="24"/>
      <c r="D43" s="24"/>
      <c r="E43" s="24"/>
      <c r="F43" s="24"/>
      <c r="G43" s="24"/>
      <c r="H43" s="24"/>
      <c r="I43" s="24"/>
    </row>
    <row r="44" spans="1:9" x14ac:dyDescent="0.35">
      <c r="A44" t="s">
        <v>134</v>
      </c>
      <c r="B44" s="25">
        <f>'Donnees historiques'!B71</f>
        <v>1067190582</v>
      </c>
      <c r="C44" s="25">
        <f>'Donnees historiques'!C71</f>
        <v>1428622648</v>
      </c>
      <c r="D44" s="25">
        <f>'Donnees historiques'!D71</f>
        <v>3727486430</v>
      </c>
    </row>
    <row r="45" spans="1:9" x14ac:dyDescent="0.35">
      <c r="A45" t="s">
        <v>135</v>
      </c>
      <c r="B45" s="25">
        <f>'Donnees historiques'!B19</f>
        <v>-32614564</v>
      </c>
      <c r="C45" s="25">
        <f>'Donnees historiques'!C19</f>
        <v>-57610704</v>
      </c>
      <c r="D45" s="25">
        <f>'Donnees historiques'!D19</f>
        <v>-100381147</v>
      </c>
    </row>
    <row r="46" spans="1:9" x14ac:dyDescent="0.35">
      <c r="A46" t="s">
        <v>136</v>
      </c>
      <c r="C46" s="26">
        <f>-C45/AVERAGE(B44:C44)</f>
        <v>4.6165877564484259E-2</v>
      </c>
      <c r="D46" s="26">
        <f>-D45/AVERAGE(C44:D44)</f>
        <v>3.8936781779231398E-2</v>
      </c>
    </row>
    <row r="47" spans="1:9" x14ac:dyDescent="0.35">
      <c r="A47" s="17" t="s">
        <v>137</v>
      </c>
      <c r="E47" s="27">
        <v>0.05</v>
      </c>
      <c r="F47" s="27">
        <v>0.05</v>
      </c>
      <c r="G47" s="27">
        <v>4.8000000000000001E-2</v>
      </c>
      <c r="H47" s="27">
        <v>4.4999999999999998E-2</v>
      </c>
      <c r="I47" s="27">
        <v>4.4999999999999998E-2</v>
      </c>
    </row>
    <row r="48" spans="1:9" x14ac:dyDescent="0.35">
      <c r="A48" s="29" t="s">
        <v>138</v>
      </c>
    </row>
    <row r="50" spans="1:1" x14ac:dyDescent="0.35">
      <c r="A50" s="30" t="s">
        <v>139</v>
      </c>
    </row>
    <row r="51" spans="1:1" x14ac:dyDescent="0.35">
      <c r="A51" s="15" t="s">
        <v>140</v>
      </c>
    </row>
    <row r="52" spans="1:1" x14ac:dyDescent="0.35">
      <c r="A52" s="15" t="s">
        <v>141</v>
      </c>
    </row>
    <row r="53" spans="1:1" x14ac:dyDescent="0.35">
      <c r="A53" s="15" t="s">
        <v>142</v>
      </c>
    </row>
    <row r="54" spans="1:1" x14ac:dyDescent="0.35">
      <c r="A54" s="16" t="s">
        <v>143</v>
      </c>
    </row>
  </sheetData>
  <pageMargins left="0.41666666666666669" right="0.41666666666666669" top="0.69444444444444442" bottom="0.55555555555555558" header="0.3" footer="0.3"/>
  <pageSetup scale="59" fitToHeight="0" orientation="landscape" r:id="rId1"/>
  <headerFooter>
    <oddHeader>&amp;CAKDITAL S.A. — Hypothèses de projection 2026-2030</oddHeader>
    <oddFooter>&amp;CPage &amp;P sur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BFDD-5D1E-447A-8B87-0C009ED87225}">
  <sheetPr>
    <pageSetUpPr fitToPage="1"/>
  </sheetPr>
  <dimension ref="A1:G65"/>
  <sheetViews>
    <sheetView showGridLines="0" zoomScale="65" workbookViewId="0">
      <pane ySplit="5" topLeftCell="A6" activePane="bottomLeft" state="frozen"/>
      <selection activeCell="U4" sqref="U4"/>
      <selection pane="bottomLeft" activeCell="U4" sqref="U4"/>
    </sheetView>
  </sheetViews>
  <sheetFormatPr defaultRowHeight="14.5" x14ac:dyDescent="0.35"/>
  <cols>
    <col min="1" max="1" width="78.1796875" customWidth="1"/>
    <col min="2" max="7" width="17.26953125" customWidth="1"/>
  </cols>
  <sheetData>
    <row r="1" spans="1:7" ht="22" customHeight="1" x14ac:dyDescent="0.45">
      <c r="A1" s="14" t="s">
        <v>144</v>
      </c>
    </row>
    <row r="2" spans="1:7" x14ac:dyDescent="0.35">
      <c r="A2" s="16" t="s">
        <v>145</v>
      </c>
    </row>
    <row r="4" spans="1:7" x14ac:dyDescent="0.35">
      <c r="A4" s="23" t="s">
        <v>146</v>
      </c>
      <c r="B4" s="24"/>
      <c r="C4" s="24"/>
      <c r="D4" s="24"/>
      <c r="E4" s="24"/>
      <c r="F4" s="24"/>
      <c r="G4" s="24"/>
    </row>
    <row r="5" spans="1:7" x14ac:dyDescent="0.35">
      <c r="B5" s="31">
        <v>2025</v>
      </c>
      <c r="C5" s="32">
        <v>2026</v>
      </c>
      <c r="D5" s="32">
        <v>2027</v>
      </c>
      <c r="E5" s="32">
        <v>2028</v>
      </c>
      <c r="F5" s="32">
        <v>2029</v>
      </c>
      <c r="G5" s="32">
        <v>2030</v>
      </c>
    </row>
    <row r="6" spans="1:7" x14ac:dyDescent="0.35">
      <c r="A6" t="s">
        <v>7</v>
      </c>
      <c r="B6" s="25">
        <f>'Donnees historiques'!D6</f>
        <v>4413384274</v>
      </c>
      <c r="C6" s="28">
        <f>B6*(1+Hypothèses!E11)</f>
        <v>5958068769.9000006</v>
      </c>
      <c r="D6" s="28">
        <f>C6*(1+Hypothèses!F11)</f>
        <v>7626328025.4720011</v>
      </c>
      <c r="E6" s="28">
        <f>D6*(1+Hypothèses!G11)</f>
        <v>9304120191.0758419</v>
      </c>
      <c r="F6" s="28">
        <f>E6*(1+Hypothèses!H11)</f>
        <v>10978861825.469492</v>
      </c>
      <c r="G6" s="28">
        <f>F6*(1+Hypothèses!I11)</f>
        <v>12625691099.289915</v>
      </c>
    </row>
    <row r="7" spans="1:7" x14ac:dyDescent="0.35">
      <c r="A7" t="s">
        <v>8</v>
      </c>
      <c r="B7" s="25">
        <f>'Donnees historiques'!D7</f>
        <v>0</v>
      </c>
      <c r="C7" s="36">
        <f>B7</f>
        <v>0</v>
      </c>
      <c r="D7" s="36">
        <f>C7</f>
        <v>0</v>
      </c>
      <c r="E7" s="36">
        <f>D7</f>
        <v>0</v>
      </c>
      <c r="F7" s="36">
        <f>E7</f>
        <v>0</v>
      </c>
      <c r="G7" s="36">
        <f>F7</f>
        <v>0</v>
      </c>
    </row>
    <row r="8" spans="1:7" x14ac:dyDescent="0.35">
      <c r="A8" s="17" t="s">
        <v>9</v>
      </c>
      <c r="B8" s="28">
        <f>SUM(B6:B7)</f>
        <v>4413384274</v>
      </c>
      <c r="C8" s="28">
        <f>SUM(C6:C7)</f>
        <v>5958068769.9000006</v>
      </c>
      <c r="D8" s="28">
        <f>SUM(D6:D7)</f>
        <v>7626328025.4720011</v>
      </c>
      <c r="E8" s="28">
        <f>SUM(E6:E7)</f>
        <v>9304120191.0758419</v>
      </c>
      <c r="F8" s="28">
        <f>SUM(F6:F7)</f>
        <v>10978861825.469492</v>
      </c>
      <c r="G8" s="28">
        <f>SUM(G6:G7)</f>
        <v>12625691099.289915</v>
      </c>
    </row>
    <row r="10" spans="1:7" x14ac:dyDescent="0.35">
      <c r="A10" t="s">
        <v>10</v>
      </c>
      <c r="B10" s="25">
        <f>'Donnees historiques'!D10</f>
        <v>-2258842115</v>
      </c>
      <c r="C10" s="36">
        <f>$C$52*(C39-C8)</f>
        <v>-3070708547.9794116</v>
      </c>
      <c r="D10" s="36">
        <f>$C$52*(D39-D8)</f>
        <v>-3876664380.5723643</v>
      </c>
      <c r="E10" s="36">
        <f>$C$52*(E39-E8)</f>
        <v>-4663842620.0719194</v>
      </c>
      <c r="F10" s="36">
        <f>$C$52*(F39-F8)</f>
        <v>-5425822541.0977526</v>
      </c>
      <c r="G10" s="36">
        <f>$C$52*(G39-G8)</f>
        <v>-6195126665.6748276</v>
      </c>
    </row>
    <row r="11" spans="1:7" x14ac:dyDescent="0.35">
      <c r="A11" t="s">
        <v>11</v>
      </c>
      <c r="B11" s="25">
        <f>'Donnees historiques'!D11</f>
        <v>-41657377</v>
      </c>
      <c r="C11" s="36">
        <f>$C$53*(C39-C8)</f>
        <v>-56629749.724805765</v>
      </c>
      <c r="D11" s="36">
        <f>$C$53*(D39-D8)</f>
        <v>-71493119.652576715</v>
      </c>
      <c r="E11" s="36">
        <f>$C$53*(E39-E8)</f>
        <v>-86010194.782030493</v>
      </c>
      <c r="F11" s="36">
        <f>$C$53*(F39-F8)</f>
        <v>-100062564.63374248</v>
      </c>
      <c r="G11" s="36">
        <f>$C$53*(G39-G8)</f>
        <v>-114250006.83359812</v>
      </c>
    </row>
    <row r="12" spans="1:7" x14ac:dyDescent="0.35">
      <c r="A12" t="s">
        <v>12</v>
      </c>
      <c r="B12" s="25">
        <f>'Donnees historiques'!D12</f>
        <v>-897272950</v>
      </c>
      <c r="C12" s="36">
        <f>$C$54*(C39-C8)</f>
        <v>-1219768171.9935982</v>
      </c>
      <c r="D12" s="36">
        <f>$C$54*(D39-D8)</f>
        <v>-1539915544.2593153</v>
      </c>
      <c r="E12" s="36">
        <f>$C$54*(E39-E8)</f>
        <v>-1852603950.6075265</v>
      </c>
      <c r="F12" s="36">
        <f>$C$54*(F39-F8)</f>
        <v>-2155282905.9180512</v>
      </c>
      <c r="G12" s="36">
        <f>$C$54*(G39-G8)</f>
        <v>-2460871232.2214322</v>
      </c>
    </row>
    <row r="13" spans="1:7" x14ac:dyDescent="0.35">
      <c r="A13" t="s">
        <v>13</v>
      </c>
      <c r="B13" s="25">
        <f>'Donnees historiques'!D13</f>
        <v>-1679935</v>
      </c>
      <c r="C13" s="36">
        <f>$C$55*(C39-C8)</f>
        <v>-2283732.3291848544</v>
      </c>
      <c r="D13" s="36">
        <f>$C$55*(D39-D8)</f>
        <v>-2883133.8555846056</v>
      </c>
      <c r="E13" s="36">
        <f>$C$55*(E39-E8)</f>
        <v>-3468570.2023713691</v>
      </c>
      <c r="F13" s="36">
        <f>$C$55*(F39-F8)</f>
        <v>-4035266.179096831</v>
      </c>
      <c r="G13" s="36">
        <f>$C$55*(G39-G8)</f>
        <v>-4607409.2766330605</v>
      </c>
    </row>
    <row r="14" spans="1:7" x14ac:dyDescent="0.35">
      <c r="A14" t="s">
        <v>14</v>
      </c>
      <c r="B14" s="25">
        <f>'Donnees historiques'!D14</f>
        <v>-406181549</v>
      </c>
      <c r="C14" s="36">
        <f>$C$56*C6</f>
        <v>-587879344.68937624</v>
      </c>
      <c r="D14" s="36">
        <f>$C$56*D6</f>
        <v>-752485561.20240152</v>
      </c>
      <c r="E14" s="36">
        <f>$C$56*E6</f>
        <v>-918032384.66692996</v>
      </c>
      <c r="F14" s="36">
        <f>$C$56*F6</f>
        <v>-1083278213.9069772</v>
      </c>
      <c r="G14" s="36">
        <f>$C$56*G6</f>
        <v>-1245769945.9930236</v>
      </c>
    </row>
    <row r="15" spans="1:7" x14ac:dyDescent="0.35">
      <c r="A15" s="17" t="s">
        <v>15</v>
      </c>
      <c r="B15" s="28">
        <f>SUM(B10:B14)</f>
        <v>-3605633926</v>
      </c>
      <c r="C15" s="28">
        <f>SUM(C10:C14)</f>
        <v>-4937269546.7163763</v>
      </c>
      <c r="D15" s="28">
        <f>SUM(D10:D14)</f>
        <v>-6243441739.5422421</v>
      </c>
      <c r="E15" s="28">
        <f>SUM(E10:E14)</f>
        <v>-7523957720.3307781</v>
      </c>
      <c r="F15" s="28">
        <f>SUM(F10:F14)</f>
        <v>-8768481491.7356205</v>
      </c>
      <c r="G15" s="28">
        <f>SUM(G10:G14)</f>
        <v>-10020625259.999514</v>
      </c>
    </row>
    <row r="17" spans="1:7" x14ac:dyDescent="0.35">
      <c r="A17" s="17" t="s">
        <v>16</v>
      </c>
      <c r="B17" s="28">
        <f>B8+B15</f>
        <v>807750348</v>
      </c>
      <c r="C17" s="28">
        <f>C8+C15</f>
        <v>1020799223.1836243</v>
      </c>
      <c r="D17" s="28">
        <f>D8+D15</f>
        <v>1382886285.929759</v>
      </c>
      <c r="E17" s="28">
        <f>E8+E15</f>
        <v>1780162470.7450638</v>
      </c>
      <c r="F17" s="28">
        <f>F8+F15</f>
        <v>2210380333.7338715</v>
      </c>
      <c r="G17" s="28">
        <f>G8+G15</f>
        <v>2605065839.2904015</v>
      </c>
    </row>
    <row r="19" spans="1:7" x14ac:dyDescent="0.35">
      <c r="A19" s="17" t="s">
        <v>17</v>
      </c>
      <c r="B19" s="25">
        <f>'Donnees historiques'!D19</f>
        <v>-100381147</v>
      </c>
      <c r="C19" s="36">
        <f>-Hypothèses!E47*'Donnees historiques'!$D$71</f>
        <v>-186374321.5</v>
      </c>
      <c r="D19" s="36">
        <f>-Hypothèses!F47*'Donnees historiques'!$D$71</f>
        <v>-186374321.5</v>
      </c>
      <c r="E19" s="36">
        <f>-Hypothèses!G47*'Donnees historiques'!$D$71</f>
        <v>-178919348.64000002</v>
      </c>
      <c r="F19" s="36">
        <f>-Hypothèses!H47*'Donnees historiques'!$D$71</f>
        <v>-167736889.34999999</v>
      </c>
      <c r="G19" s="36">
        <f>-Hypothèses!I47*'Donnees historiques'!$D$71</f>
        <v>-167736889.34999999</v>
      </c>
    </row>
    <row r="20" spans="1:7" x14ac:dyDescent="0.35">
      <c r="A20" s="39" t="s">
        <v>155</v>
      </c>
    </row>
    <row r="21" spans="1:7" x14ac:dyDescent="0.35">
      <c r="A21" s="17" t="s">
        <v>18</v>
      </c>
      <c r="B21" s="28">
        <f>B17+B19</f>
        <v>707369201</v>
      </c>
      <c r="C21" s="28">
        <f>C17+C19</f>
        <v>834424901.68362427</v>
      </c>
      <c r="D21" s="28">
        <f>D17+D19</f>
        <v>1196511964.429759</v>
      </c>
      <c r="E21" s="28">
        <f>E17+E19</f>
        <v>1601243122.1050637</v>
      </c>
      <c r="F21" s="28">
        <f>F17+F19</f>
        <v>2042643444.3838716</v>
      </c>
      <c r="G21" s="28">
        <f>G17+G19</f>
        <v>2437328949.9404016</v>
      </c>
    </row>
    <row r="23" spans="1:7" x14ac:dyDescent="0.35">
      <c r="A23" t="s">
        <v>19</v>
      </c>
      <c r="B23" s="25">
        <f>'Donnees historiques'!D23</f>
        <v>5438279</v>
      </c>
      <c r="C23" s="40">
        <v>0</v>
      </c>
      <c r="D23" s="40">
        <v>0</v>
      </c>
      <c r="E23" s="40">
        <v>0</v>
      </c>
      <c r="F23" s="40">
        <v>0</v>
      </c>
      <c r="G23" s="40">
        <v>0</v>
      </c>
    </row>
    <row r="24" spans="1:7" x14ac:dyDescent="0.35">
      <c r="A24" s="39" t="s">
        <v>156</v>
      </c>
    </row>
    <row r="25" spans="1:7" x14ac:dyDescent="0.35">
      <c r="A25" s="17" t="s">
        <v>20</v>
      </c>
      <c r="B25" s="28">
        <f>B21+B23</f>
        <v>712807480</v>
      </c>
      <c r="C25" s="28">
        <f>C21+C23</f>
        <v>834424901.68362427</v>
      </c>
      <c r="D25" s="28">
        <f>D21+D23</f>
        <v>1196511964.429759</v>
      </c>
      <c r="E25" s="28">
        <f>E21+E23</f>
        <v>1601243122.1050637</v>
      </c>
      <c r="F25" s="28">
        <f>F21+F23</f>
        <v>2042643444.3838716</v>
      </c>
      <c r="G25" s="28">
        <f>G21+G23</f>
        <v>2437328949.9404016</v>
      </c>
    </row>
    <row r="27" spans="1:7" x14ac:dyDescent="0.35">
      <c r="A27" t="s">
        <v>21</v>
      </c>
      <c r="B27" s="25">
        <f>'Donnees historiques'!D27</f>
        <v>-11312733</v>
      </c>
      <c r="C27" s="36">
        <f>B27</f>
        <v>-11312733</v>
      </c>
      <c r="D27" s="36">
        <f>C27</f>
        <v>-11312733</v>
      </c>
      <c r="E27" s="36">
        <f>D27</f>
        <v>-11312733</v>
      </c>
      <c r="F27" s="36">
        <f>E27</f>
        <v>-11312733</v>
      </c>
      <c r="G27" s="36">
        <f>F27</f>
        <v>-11312733</v>
      </c>
    </row>
    <row r="28" spans="1:7" x14ac:dyDescent="0.35">
      <c r="A28" t="s">
        <v>22</v>
      </c>
      <c r="B28" s="25">
        <f>'Donnees historiques'!D28</f>
        <v>0</v>
      </c>
      <c r="C28" s="36">
        <f>B28</f>
        <v>0</v>
      </c>
      <c r="D28" s="36">
        <f>C28</f>
        <v>0</v>
      </c>
      <c r="E28" s="36">
        <f>D28</f>
        <v>0</v>
      </c>
      <c r="F28" s="36">
        <f>E28</f>
        <v>0</v>
      </c>
      <c r="G28" s="36">
        <f>F28</f>
        <v>0</v>
      </c>
    </row>
    <row r="29" spans="1:7" x14ac:dyDescent="0.35">
      <c r="A29" t="s">
        <v>24</v>
      </c>
      <c r="B29" s="25">
        <f>'Donnees historiques'!D29</f>
        <v>-207163156</v>
      </c>
      <c r="C29" s="36">
        <f>-Hypothèses!E40*C25</f>
        <v>-250327470.50508726</v>
      </c>
      <c r="D29" s="36">
        <f>-Hypothèses!F40*D25</f>
        <v>-370918708.9732253</v>
      </c>
      <c r="E29" s="36">
        <f>-Hypothèses!G40*E25</f>
        <v>-512397799.07362038</v>
      </c>
      <c r="F29" s="36">
        <f>-Hypothèses!H40*F25</f>
        <v>-674072336.64667761</v>
      </c>
      <c r="G29" s="36">
        <f>-Hypothèses!I40*G25</f>
        <v>-804318553.48033249</v>
      </c>
    </row>
    <row r="31" spans="1:7" x14ac:dyDescent="0.35">
      <c r="A31" s="17" t="s">
        <v>25</v>
      </c>
      <c r="B31" s="28">
        <f>B25+SUM(B27:B29)</f>
        <v>494331591</v>
      </c>
      <c r="C31" s="28">
        <f>C25+SUM(C27:C29)</f>
        <v>572784698.17853701</v>
      </c>
      <c r="D31" s="28">
        <f>D25+SUM(D27:D29)</f>
        <v>814280522.45653367</v>
      </c>
      <c r="E31" s="28">
        <f>E25+SUM(E27:E29)</f>
        <v>1077532590.0314434</v>
      </c>
      <c r="F31" s="28">
        <f>F25+SUM(F27:F29)</f>
        <v>1357258374.7371941</v>
      </c>
      <c r="G31" s="28">
        <f>G25+SUM(G27:G29)</f>
        <v>1621697663.4600692</v>
      </c>
    </row>
    <row r="33" spans="1:7" x14ac:dyDescent="0.35">
      <c r="A33" t="s">
        <v>26</v>
      </c>
      <c r="B33" s="25">
        <f>'Donnees historiques'!D33</f>
        <v>443680156</v>
      </c>
      <c r="C33" s="36">
        <f>$C$57*C31</f>
        <v>512818663.45305437</v>
      </c>
      <c r="D33" s="36">
        <f>$C$57*D31</f>
        <v>729031781.97657657</v>
      </c>
      <c r="E33" s="36">
        <f>$C$57*E31</f>
        <v>964723436.92881596</v>
      </c>
      <c r="F33" s="36">
        <f>$C$57*F31</f>
        <v>1215164140.9181654</v>
      </c>
      <c r="G33" s="36">
        <f>$C$57*G31</f>
        <v>1451918724.339442</v>
      </c>
    </row>
    <row r="34" spans="1:7" x14ac:dyDescent="0.35">
      <c r="A34" t="s">
        <v>27</v>
      </c>
      <c r="B34" s="25">
        <f>'Donnees historiques'!D34</f>
        <v>50651435</v>
      </c>
      <c r="C34" s="36">
        <f>C31-C33</f>
        <v>59966034.725482643</v>
      </c>
      <c r="D34" s="36">
        <f>D31-D33</f>
        <v>85248740.479957104</v>
      </c>
      <c r="E34" s="36">
        <f>E31-E33</f>
        <v>112809153.1026274</v>
      </c>
      <c r="F34" s="36">
        <f>F31-F33</f>
        <v>142094233.81902862</v>
      </c>
      <c r="G34" s="36">
        <f>G31-G33</f>
        <v>169778939.12062716</v>
      </c>
    </row>
    <row r="36" spans="1:7" x14ac:dyDescent="0.35">
      <c r="A36" s="41" t="s">
        <v>28</v>
      </c>
      <c r="B36" s="42">
        <f>B33+B34-B31</f>
        <v>0</v>
      </c>
      <c r="C36" s="42">
        <f>C33+C34-C31</f>
        <v>0</v>
      </c>
      <c r="D36" s="42">
        <f>D33+D34-D31</f>
        <v>0</v>
      </c>
      <c r="E36" s="42">
        <f>E33+E34-E31</f>
        <v>0</v>
      </c>
      <c r="F36" s="42">
        <f>F33+F34-F31</f>
        <v>0</v>
      </c>
      <c r="G36" s="42">
        <f>G33+G34-G31</f>
        <v>0</v>
      </c>
    </row>
    <row r="38" spans="1:7" x14ac:dyDescent="0.35">
      <c r="A38" s="23" t="s">
        <v>157</v>
      </c>
      <c r="B38" s="24"/>
      <c r="C38" s="24"/>
      <c r="D38" s="24"/>
      <c r="E38" s="24"/>
      <c r="F38" s="24"/>
      <c r="G38" s="24"/>
    </row>
    <row r="39" spans="1:7" x14ac:dyDescent="0.35">
      <c r="A39" s="16" t="s">
        <v>154</v>
      </c>
      <c r="B39" s="37">
        <f>'Donnees historiques'!D17-'Donnees historiques'!D14</f>
        <v>1213931897</v>
      </c>
      <c r="C39" s="38">
        <f>C6*Hypothèses!E18</f>
        <v>1608678567.8730001</v>
      </c>
      <c r="D39" s="38">
        <f>D6*Hypothèses!F18</f>
        <v>2135371847.1321604</v>
      </c>
      <c r="E39" s="38">
        <f>E6*Hypothèses!G18</f>
        <v>2698194855.411994</v>
      </c>
      <c r="F39" s="38">
        <f>F6*Hypothèses!H18</f>
        <v>3293658547.6408477</v>
      </c>
      <c r="G39" s="38">
        <f>G6*Hypothèses!I18</f>
        <v>3850835785.2834239</v>
      </c>
    </row>
    <row r="40" spans="1:7" x14ac:dyDescent="0.35">
      <c r="A40" s="15" t="s">
        <v>158</v>
      </c>
      <c r="B40" s="43">
        <f>B39/B6</f>
        <v>0.27505692267756515</v>
      </c>
      <c r="C40" s="43">
        <f>C39/C6</f>
        <v>0.27</v>
      </c>
      <c r="D40" s="43">
        <f>D39/D6</f>
        <v>0.28000000000000003</v>
      </c>
      <c r="E40" s="43">
        <f>E39/E6</f>
        <v>0.28999999999999998</v>
      </c>
      <c r="F40" s="43">
        <f>F39/F6</f>
        <v>0.3</v>
      </c>
      <c r="G40" s="43">
        <f>G39/G6</f>
        <v>0.30499999999999999</v>
      </c>
    </row>
    <row r="41" spans="1:7" x14ac:dyDescent="0.35">
      <c r="A41" s="15" t="s">
        <v>159</v>
      </c>
      <c r="B41" s="43">
        <f>B17/B6</f>
        <v>0.18302289079122233</v>
      </c>
      <c r="C41" s="43">
        <f>C17/C6</f>
        <v>0.17133055401117117</v>
      </c>
      <c r="D41" s="43">
        <f>D17/D6</f>
        <v>0.18133055401117115</v>
      </c>
      <c r="E41" s="43">
        <f>E17/E6</f>
        <v>0.19133055401117108</v>
      </c>
      <c r="F41" s="43">
        <f>F17/F6</f>
        <v>0.20133055401117123</v>
      </c>
      <c r="G41" s="43">
        <f>G17/G6</f>
        <v>0.2063305540111712</v>
      </c>
    </row>
    <row r="42" spans="1:7" x14ac:dyDescent="0.35">
      <c r="A42" s="15" t="s">
        <v>160</v>
      </c>
      <c r="C42" s="43">
        <f>C6/B6-1</f>
        <v>0.35000000000000009</v>
      </c>
      <c r="D42" s="43">
        <f>D6/C6-1</f>
        <v>0.28000000000000003</v>
      </c>
      <c r="E42" s="43">
        <f>E6/D6-1</f>
        <v>0.21999999999999997</v>
      </c>
      <c r="F42" s="43">
        <f>F6/E6-1</f>
        <v>0.17999999999999994</v>
      </c>
      <c r="G42" s="43">
        <f>G6/F6-1</f>
        <v>0.14999999999999991</v>
      </c>
    </row>
    <row r="44" spans="1:7" x14ac:dyDescent="0.35">
      <c r="A44" s="34" t="s">
        <v>161</v>
      </c>
    </row>
    <row r="45" spans="1:7" x14ac:dyDescent="0.35">
      <c r="A45" s="15" t="s">
        <v>162</v>
      </c>
      <c r="C45" s="44">
        <f>Hypothèses!E11</f>
        <v>0.35</v>
      </c>
      <c r="D45" s="44">
        <f>Hypothèses!F11</f>
        <v>0.28000000000000003</v>
      </c>
      <c r="E45" s="44">
        <f>Hypothèses!G11</f>
        <v>0.22</v>
      </c>
      <c r="F45" s="44">
        <f>Hypothèses!H11</f>
        <v>0.18</v>
      </c>
      <c r="G45" s="44">
        <f>Hypothèses!I11</f>
        <v>0.15</v>
      </c>
    </row>
    <row r="46" spans="1:7" x14ac:dyDescent="0.35">
      <c r="A46" s="15" t="s">
        <v>163</v>
      </c>
      <c r="C46" s="44">
        <f>Hypothèses!E18</f>
        <v>0.27</v>
      </c>
      <c r="D46" s="44">
        <f>Hypothèses!F18</f>
        <v>0.28000000000000003</v>
      </c>
      <c r="E46" s="44">
        <f>Hypothèses!G18</f>
        <v>0.28999999999999998</v>
      </c>
      <c r="F46" s="44">
        <f>Hypothèses!H18</f>
        <v>0.3</v>
      </c>
      <c r="G46" s="44">
        <f>Hypothèses!I18</f>
        <v>0.30499999999999999</v>
      </c>
    </row>
    <row r="47" spans="1:7" x14ac:dyDescent="0.35">
      <c r="A47" s="15" t="s">
        <v>164</v>
      </c>
      <c r="C47" s="44">
        <f>Hypothèses!E40</f>
        <v>0.3</v>
      </c>
      <c r="D47" s="44">
        <f>Hypothèses!F40</f>
        <v>0.31</v>
      </c>
      <c r="E47" s="44">
        <f>Hypothèses!G40</f>
        <v>0.32</v>
      </c>
      <c r="F47" s="44">
        <f>Hypothèses!H40</f>
        <v>0.33</v>
      </c>
      <c r="G47" s="44">
        <f>Hypothèses!I40</f>
        <v>0.33</v>
      </c>
    </row>
    <row r="48" spans="1:7" x14ac:dyDescent="0.35">
      <c r="A48" s="15" t="s">
        <v>165</v>
      </c>
      <c r="C48" s="44">
        <f>Hypothèses!E47</f>
        <v>0.05</v>
      </c>
      <c r="D48" s="44">
        <f>Hypothèses!F47</f>
        <v>0.05</v>
      </c>
      <c r="E48" s="44">
        <f>Hypothèses!G47</f>
        <v>4.8000000000000001E-2</v>
      </c>
      <c r="F48" s="44">
        <f>Hypothèses!H47</f>
        <v>4.4999999999999998E-2</v>
      </c>
      <c r="G48" s="44">
        <f>Hypothèses!I47</f>
        <v>4.4999999999999998E-2</v>
      </c>
    </row>
    <row r="51" spans="1:3" x14ac:dyDescent="0.35">
      <c r="A51" s="34" t="s">
        <v>147</v>
      </c>
    </row>
    <row r="52" spans="1:3" x14ac:dyDescent="0.35">
      <c r="A52" t="s">
        <v>148</v>
      </c>
      <c r="C52" s="35">
        <f>'Donnees historiques'!D10/SUM('Donnees historiques'!D10:D13)</f>
        <v>0.70600898179894989</v>
      </c>
    </row>
    <row r="53" spans="1:3" x14ac:dyDescent="0.35">
      <c r="A53" t="s">
        <v>149</v>
      </c>
      <c r="C53" s="35">
        <f>'Donnees historiques'!D11/SUM('Donnees historiques'!D10:D13)</f>
        <v>1.3020158480702398E-2</v>
      </c>
    </row>
    <row r="54" spans="1:3" x14ac:dyDescent="0.35">
      <c r="A54" t="s">
        <v>150</v>
      </c>
      <c r="C54" s="35">
        <f>'Donnees historiques'!D12/SUM('Donnees historiques'!D10:D13)</f>
        <v>0.28044579017654808</v>
      </c>
    </row>
    <row r="55" spans="1:3" x14ac:dyDescent="0.35">
      <c r="A55" t="s">
        <v>151</v>
      </c>
      <c r="C55" s="35">
        <f>'Donnees historiques'!D13/SUM('Donnees historiques'!D10:D13)</f>
        <v>5.250695437996201E-4</v>
      </c>
    </row>
    <row r="56" spans="1:3" x14ac:dyDescent="0.35">
      <c r="A56" t="s">
        <v>152</v>
      </c>
      <c r="C56" s="35">
        <f>AVERAGE('Donnees historiques'!B14/'Donnees historiques'!B6,'Donnees historiques'!C14/'Donnees historiques'!C6,'Donnees historiques'!D14/'Donnees historiques'!D6)</f>
        <v>-9.8669445988828874E-2</v>
      </c>
    </row>
    <row r="57" spans="1:3" x14ac:dyDescent="0.35">
      <c r="A57" t="s">
        <v>153</v>
      </c>
      <c r="C57" s="35">
        <f>AVERAGE('Donnees historiques'!B33/'Donnees historiques'!B31,'Donnees historiques'!C33/'Donnees historiques'!C31,'Donnees historiques'!D33/'Donnees historiques'!D31)</f>
        <v>0.89530789681327827</v>
      </c>
    </row>
    <row r="59" spans="1:3" x14ac:dyDescent="0.35">
      <c r="A59" s="30" t="s">
        <v>166</v>
      </c>
    </row>
    <row r="60" spans="1:3" x14ac:dyDescent="0.35">
      <c r="A60" s="15" t="s">
        <v>167</v>
      </c>
    </row>
    <row r="61" spans="1:3" x14ac:dyDescent="0.35">
      <c r="A61" s="15" t="s">
        <v>168</v>
      </c>
    </row>
    <row r="62" spans="1:3" x14ac:dyDescent="0.35">
      <c r="A62" s="15" t="s">
        <v>169</v>
      </c>
    </row>
    <row r="63" spans="1:3" x14ac:dyDescent="0.35">
      <c r="A63" s="15" t="s">
        <v>170</v>
      </c>
    </row>
    <row r="64" spans="1:3" x14ac:dyDescent="0.35">
      <c r="A64" s="15" t="s">
        <v>171</v>
      </c>
    </row>
    <row r="65" spans="1:1" x14ac:dyDescent="0.35">
      <c r="A65" s="16" t="s">
        <v>172</v>
      </c>
    </row>
  </sheetData>
  <pageMargins left="0.41666666666666669" right="0.41666666666666669" top="0.69444444444444442" bottom="0.55555555555555558" header="0.3" footer="0.3"/>
  <pageSetup scale="71" fitToHeight="0" orientation="landscape" r:id="rId1"/>
  <headerFooter>
    <oddHeader>&amp;CAKDITAL S.A. — Compte de résultat prévisionnel</oddHeader>
    <oddFooter>&amp;CPage &amp;P sur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FF86-D455-4721-940A-2C7A7EFBA63E}">
  <sheetPr>
    <pageSetUpPr fitToPage="1"/>
  </sheetPr>
  <dimension ref="A1:G69"/>
  <sheetViews>
    <sheetView showGridLines="0" zoomScale="77" workbookViewId="0">
      <pane ySplit="5" topLeftCell="A40" activePane="bottomLeft" state="frozen"/>
      <selection activeCell="U4" sqref="U4"/>
      <selection pane="bottomLeft" activeCell="U4" sqref="U4"/>
    </sheetView>
  </sheetViews>
  <sheetFormatPr defaultRowHeight="14.5" x14ac:dyDescent="0.35"/>
  <cols>
    <col min="1" max="1" width="78.1796875" customWidth="1"/>
    <col min="2" max="7" width="17.26953125" customWidth="1"/>
  </cols>
  <sheetData>
    <row r="1" spans="1:7" ht="22" customHeight="1" x14ac:dyDescent="0.45">
      <c r="A1" s="14" t="s">
        <v>173</v>
      </c>
    </row>
    <row r="2" spans="1:7" x14ac:dyDescent="0.35">
      <c r="A2" s="16" t="s">
        <v>174</v>
      </c>
    </row>
    <row r="4" spans="1:7" x14ac:dyDescent="0.35">
      <c r="A4" s="23" t="s">
        <v>175</v>
      </c>
      <c r="B4" s="24"/>
      <c r="C4" s="24"/>
      <c r="D4" s="24"/>
      <c r="E4" s="24"/>
      <c r="F4" s="24"/>
      <c r="G4" s="24"/>
    </row>
    <row r="5" spans="1:7" x14ac:dyDescent="0.35">
      <c r="B5" s="31">
        <v>2025</v>
      </c>
      <c r="C5" s="32">
        <v>2026</v>
      </c>
      <c r="D5" s="32">
        <v>2027</v>
      </c>
      <c r="E5" s="32">
        <v>2028</v>
      </c>
      <c r="F5" s="32">
        <v>2029</v>
      </c>
      <c r="G5" s="32">
        <v>2030</v>
      </c>
    </row>
    <row r="6" spans="1:7" x14ac:dyDescent="0.35">
      <c r="A6" t="s">
        <v>30</v>
      </c>
      <c r="B6" s="25">
        <f>'Donnees historiques'!D41</f>
        <v>209957584</v>
      </c>
      <c r="C6" s="36">
        <f>B6</f>
        <v>209957584</v>
      </c>
      <c r="D6" s="36">
        <f>C6</f>
        <v>209957584</v>
      </c>
      <c r="E6" s="36">
        <f>D6</f>
        <v>209957584</v>
      </c>
      <c r="F6" s="36">
        <f>E6</f>
        <v>209957584</v>
      </c>
      <c r="G6" s="36">
        <f>F6</f>
        <v>209957584</v>
      </c>
    </row>
    <row r="7" spans="1:7" x14ac:dyDescent="0.35">
      <c r="A7" t="s">
        <v>31</v>
      </c>
      <c r="B7" s="25">
        <f>'Donnees historiques'!D42</f>
        <v>173094441</v>
      </c>
      <c r="C7" s="36">
        <f>B7</f>
        <v>173094441</v>
      </c>
      <c r="D7" s="36">
        <f>C7</f>
        <v>173094441</v>
      </c>
      <c r="E7" s="36">
        <f>D7</f>
        <v>173094441</v>
      </c>
      <c r="F7" s="36">
        <f>E7</f>
        <v>173094441</v>
      </c>
      <c r="G7" s="36">
        <f>F7</f>
        <v>173094441</v>
      </c>
    </row>
    <row r="8" spans="1:7" x14ac:dyDescent="0.35">
      <c r="A8" t="s">
        <v>32</v>
      </c>
      <c r="B8" s="25">
        <f>'Donnees historiques'!D43</f>
        <v>316041680</v>
      </c>
      <c r="C8" s="36">
        <f>B8</f>
        <v>316041680</v>
      </c>
      <c r="D8" s="36">
        <f>C8</f>
        <v>316041680</v>
      </c>
      <c r="E8" s="36">
        <f>D8</f>
        <v>316041680</v>
      </c>
      <c r="F8" s="36">
        <f>E8</f>
        <v>316041680</v>
      </c>
      <c r="G8" s="36">
        <f>F8</f>
        <v>316041680</v>
      </c>
    </row>
    <row r="9" spans="1:7" x14ac:dyDescent="0.35">
      <c r="A9" s="17" t="s">
        <v>33</v>
      </c>
      <c r="B9" s="45">
        <f>'Donnees historiques'!D44</f>
        <v>5336273050</v>
      </c>
      <c r="C9" s="28">
        <f>B9+C56+'Compte de résultat'!C14</f>
        <v>7250782588.6686239</v>
      </c>
      <c r="D9" s="28">
        <f>C9+D56+'Compte de résultat'!D14</f>
        <v>9167511836.381422</v>
      </c>
      <c r="E9" s="28">
        <f>D9+E56+'Compte de résultat'!E14</f>
        <v>9924221086.1081448</v>
      </c>
      <c r="F9" s="28">
        <f>E9+F56+'Compte de résultat'!F14</f>
        <v>10377983527.766897</v>
      </c>
      <c r="G9" s="28">
        <f>F9+G56+'Compte de résultat'!G14</f>
        <v>10647296513.688663</v>
      </c>
    </row>
    <row r="10" spans="1:7" x14ac:dyDescent="0.35">
      <c r="A10" t="s">
        <v>34</v>
      </c>
      <c r="B10" s="25">
        <f>'Donnees historiques'!D45</f>
        <v>0</v>
      </c>
      <c r="C10" s="36">
        <f>B10</f>
        <v>0</v>
      </c>
      <c r="D10" s="36">
        <f>C10</f>
        <v>0</v>
      </c>
      <c r="E10" s="36">
        <f>D10</f>
        <v>0</v>
      </c>
      <c r="F10" s="36">
        <f>E10</f>
        <v>0</v>
      </c>
      <c r="G10" s="36">
        <f>F10</f>
        <v>0</v>
      </c>
    </row>
    <row r="11" spans="1:7" x14ac:dyDescent="0.35">
      <c r="A11" t="s">
        <v>36</v>
      </c>
      <c r="B11" s="25">
        <f>'Donnees historiques'!D46</f>
        <v>53865121</v>
      </c>
      <c r="C11" s="36">
        <f>B11</f>
        <v>53865121</v>
      </c>
      <c r="D11" s="36">
        <f>C11</f>
        <v>53865121</v>
      </c>
      <c r="E11" s="36">
        <f>D11</f>
        <v>53865121</v>
      </c>
      <c r="F11" s="36">
        <f>E11</f>
        <v>53865121</v>
      </c>
      <c r="G11" s="36">
        <f>F11</f>
        <v>53865121</v>
      </c>
    </row>
    <row r="12" spans="1:7" x14ac:dyDescent="0.35">
      <c r="A12" t="s">
        <v>37</v>
      </c>
      <c r="B12" s="25">
        <f>'Donnees historiques'!D47</f>
        <v>19367305</v>
      </c>
      <c r="C12" s="36">
        <f>B12</f>
        <v>19367305</v>
      </c>
      <c r="D12" s="36">
        <f>C12</f>
        <v>19367305</v>
      </c>
      <c r="E12" s="36">
        <f>D12</f>
        <v>19367305</v>
      </c>
      <c r="F12" s="36">
        <f>E12</f>
        <v>19367305</v>
      </c>
      <c r="G12" s="36">
        <f>F12</f>
        <v>19367305</v>
      </c>
    </row>
    <row r="13" spans="1:7" x14ac:dyDescent="0.35">
      <c r="A13" s="17" t="s">
        <v>38</v>
      </c>
      <c r="B13" s="28">
        <f>SUM(B6:B12)</f>
        <v>6108599181</v>
      </c>
      <c r="C13" s="28">
        <f>SUM(C6:C12)</f>
        <v>8023108719.6686239</v>
      </c>
      <c r="D13" s="28">
        <f>SUM(D6:D12)</f>
        <v>9939837967.381422</v>
      </c>
      <c r="E13" s="28">
        <f>SUM(E6:E12)</f>
        <v>10696547217.108145</v>
      </c>
      <c r="F13" s="28">
        <f>SUM(F6:F12)</f>
        <v>11150309658.766897</v>
      </c>
      <c r="G13" s="28">
        <f>SUM(G6:G12)</f>
        <v>11419622644.688663</v>
      </c>
    </row>
    <row r="15" spans="1:7" x14ac:dyDescent="0.35">
      <c r="A15" t="s">
        <v>39</v>
      </c>
      <c r="B15" s="25">
        <f>'Donnees historiques'!D50</f>
        <v>233293462</v>
      </c>
      <c r="C15" s="36">
        <f>$B$48*C58</f>
        <v>314946173.69999999</v>
      </c>
      <c r="D15" s="36">
        <f>$B$48*D58</f>
        <v>403131102.33600003</v>
      </c>
      <c r="E15" s="36">
        <f>$B$48*E58</f>
        <v>491819944.84992009</v>
      </c>
      <c r="F15" s="36">
        <f>$B$48*F58</f>
        <v>580347534.92290556</v>
      </c>
      <c r="G15" s="36">
        <f>$B$48*G58</f>
        <v>667399665.16134143</v>
      </c>
    </row>
    <row r="16" spans="1:7" x14ac:dyDescent="0.35">
      <c r="A16" t="s">
        <v>40</v>
      </c>
      <c r="B16" s="25">
        <f>'Donnees historiques'!D51</f>
        <v>1524930922</v>
      </c>
      <c r="C16" s="36">
        <f>$B$49*C58</f>
        <v>2058656744.7000003</v>
      </c>
      <c r="D16" s="36">
        <f>$B$49*D58</f>
        <v>2635080633.2160001</v>
      </c>
      <c r="E16" s="36">
        <f>$B$49*E58</f>
        <v>3214798372.5235209</v>
      </c>
      <c r="F16" s="36">
        <f>$B$49*F58</f>
        <v>3793462079.5777535</v>
      </c>
      <c r="G16" s="36">
        <f>$B$49*G58</f>
        <v>4362481391.5144167</v>
      </c>
    </row>
    <row r="17" spans="1:7" x14ac:dyDescent="0.35">
      <c r="A17" t="s">
        <v>41</v>
      </c>
      <c r="B17" s="25">
        <f>'Donnees historiques'!D52</f>
        <v>513505254</v>
      </c>
      <c r="C17" s="36">
        <f>$B$50*C58</f>
        <v>693232092.9000001</v>
      </c>
      <c r="D17" s="36">
        <f>$B$50*D58</f>
        <v>887337078.91200006</v>
      </c>
      <c r="E17" s="36">
        <f>$B$50*E58</f>
        <v>1082551236.2726402</v>
      </c>
      <c r="F17" s="36">
        <f>$B$50*F58</f>
        <v>1277410458.8017151</v>
      </c>
      <c r="G17" s="36">
        <f>$B$50*G58</f>
        <v>1469022027.6219726</v>
      </c>
    </row>
    <row r="18" spans="1:7" x14ac:dyDescent="0.35">
      <c r="A18" t="s">
        <v>42</v>
      </c>
      <c r="B18" s="25">
        <f>'Donnees historiques'!D53</f>
        <v>601775808</v>
      </c>
      <c r="C18" s="36">
        <f>B18</f>
        <v>601775808</v>
      </c>
      <c r="D18" s="36">
        <f>C18</f>
        <v>601775808</v>
      </c>
      <c r="E18" s="36">
        <f>D18</f>
        <v>601775808</v>
      </c>
      <c r="F18" s="36">
        <f>E18</f>
        <v>601775808</v>
      </c>
      <c r="G18" s="36">
        <f>F18</f>
        <v>601775808</v>
      </c>
    </row>
    <row r="19" spans="1:7" x14ac:dyDescent="0.35">
      <c r="A19" s="17" t="s">
        <v>43</v>
      </c>
      <c r="B19" s="28">
        <f>SUM(B15:B18)</f>
        <v>2873505446</v>
      </c>
      <c r="C19" s="28">
        <f>SUM(C15:C18)</f>
        <v>3668610819.3000002</v>
      </c>
      <c r="D19" s="28">
        <f>SUM(D15:D18)</f>
        <v>4527324622.4640007</v>
      </c>
      <c r="E19" s="28">
        <f>SUM(E15:E18)</f>
        <v>5390945361.6460819</v>
      </c>
      <c r="F19" s="28">
        <f>SUM(F15:F18)</f>
        <v>6252995881.3023739</v>
      </c>
      <c r="G19" s="28">
        <f>SUM(G15:G18)</f>
        <v>7100678892.2977314</v>
      </c>
    </row>
    <row r="21" spans="1:7" x14ac:dyDescent="0.35">
      <c r="A21" s="17" t="s">
        <v>44</v>
      </c>
      <c r="B21" s="45">
        <f>'Donnees historiques'!D56</f>
        <v>504349961</v>
      </c>
      <c r="C21" s="28">
        <f>B21+C61-C56-C60</f>
        <v>-929303071.98508716</v>
      </c>
      <c r="D21" s="28">
        <f>C21+D61-D56-D60</f>
        <v>-2180115307.2746725</v>
      </c>
      <c r="E21" s="28">
        <f>D21+E61-E56-E60</f>
        <v>-1948646763.9061811</v>
      </c>
      <c r="F21" s="28">
        <f>E21+F61-F56-F60</f>
        <v>-1134322595.8913579</v>
      </c>
      <c r="G21" s="28">
        <f>F21+G61-G56-G60</f>
        <v>130565058.21771955</v>
      </c>
    </row>
    <row r="23" spans="1:7" x14ac:dyDescent="0.35">
      <c r="A23" s="18" t="s">
        <v>45</v>
      </c>
      <c r="B23" s="46">
        <f>B13+B19+B21</f>
        <v>9486454588</v>
      </c>
      <c r="C23" s="46">
        <f>C13+C19+C21</f>
        <v>10762416466.983538</v>
      </c>
      <c r="D23" s="46">
        <f>D13+D19+D21</f>
        <v>12287047282.570751</v>
      </c>
      <c r="E23" s="46">
        <f>E13+E19+E21</f>
        <v>14138845814.848045</v>
      </c>
      <c r="F23" s="46">
        <f>F13+F19+F21</f>
        <v>16268982944.177914</v>
      </c>
      <c r="G23" s="46">
        <f>G13+G19+G21</f>
        <v>18650866595.204117</v>
      </c>
    </row>
    <row r="25" spans="1:7" x14ac:dyDescent="0.35">
      <c r="A25" s="23" t="s">
        <v>190</v>
      </c>
      <c r="B25" s="24"/>
      <c r="C25" s="24"/>
      <c r="D25" s="24"/>
      <c r="E25" s="24"/>
      <c r="F25" s="24"/>
      <c r="G25" s="24"/>
    </row>
    <row r="27" spans="1:7" x14ac:dyDescent="0.35">
      <c r="A27" s="17" t="s">
        <v>51</v>
      </c>
      <c r="B27" s="45">
        <f>'Donnees historiques'!D67</f>
        <v>2925562585</v>
      </c>
      <c r="C27" s="28">
        <f>B27+'Compte de résultat'!C31-C60</f>
        <v>3498347283.1785369</v>
      </c>
      <c r="D27" s="28">
        <f>C27+'Compte de résultat'!D31-D60</f>
        <v>4312627805.6350708</v>
      </c>
      <c r="E27" s="28">
        <f>D27+'Compte de résultat'!E31-E60</f>
        <v>5390160395.6665144</v>
      </c>
      <c r="F27" s="28">
        <f>E27+'Compte de résultat'!F31-F60</f>
        <v>6747418770.4037085</v>
      </c>
      <c r="G27" s="28">
        <f>F27+'Compte de résultat'!G31-G60</f>
        <v>8369116433.8637772</v>
      </c>
    </row>
    <row r="28" spans="1:7" x14ac:dyDescent="0.35">
      <c r="A28" t="s">
        <v>52</v>
      </c>
      <c r="B28" s="25">
        <f>'Donnees historiques'!D68</f>
        <v>2853529135</v>
      </c>
      <c r="C28" s="36">
        <f>C27*'Compte de résultat'!$C$57</f>
        <v>3132097948.4250216</v>
      </c>
      <c r="D28" s="36">
        <f>D27*'Compte de résultat'!$C$57</f>
        <v>3861129730.4015985</v>
      </c>
      <c r="E28" s="36">
        <f>E27*'Compte de résultat'!$C$57</f>
        <v>4825853167.3304148</v>
      </c>
      <c r="F28" s="36">
        <f>F27*'Compte de résultat'!$C$57</f>
        <v>6041017308.24858</v>
      </c>
      <c r="G28" s="36">
        <f>G27*'Compte de résultat'!$C$57</f>
        <v>7492936032.5880222</v>
      </c>
    </row>
    <row r="29" spans="1:7" x14ac:dyDescent="0.35">
      <c r="A29" t="s">
        <v>53</v>
      </c>
      <c r="B29" s="25">
        <f>'Donnees historiques'!D69</f>
        <v>72033450</v>
      </c>
      <c r="C29" s="36">
        <f>C27-C28</f>
        <v>366249334.75351524</v>
      </c>
      <c r="D29" s="36">
        <f>D27-D28</f>
        <v>451498075.23347235</v>
      </c>
      <c r="E29" s="36">
        <f>E27-E28</f>
        <v>564307228.33609962</v>
      </c>
      <c r="F29" s="36">
        <f>F27-F28</f>
        <v>706401462.15512848</v>
      </c>
      <c r="G29" s="36">
        <f>G27-G28</f>
        <v>876180401.27575493</v>
      </c>
    </row>
    <row r="31" spans="1:7" x14ac:dyDescent="0.35">
      <c r="A31" s="17" t="s">
        <v>191</v>
      </c>
      <c r="B31" s="45">
        <f>'Donnees historiques'!D71</f>
        <v>3727486430</v>
      </c>
      <c r="C31" s="47">
        <f>C23-C27-C32-C33-C38-C40</f>
        <v>3738799162</v>
      </c>
      <c r="D31" s="47">
        <f>D23-D27-D32-D33-D38-D40</f>
        <v>3750111895</v>
      </c>
      <c r="E31" s="47">
        <f>E23-E27-E32-E33-E38-E40</f>
        <v>3761424628</v>
      </c>
      <c r="F31" s="47">
        <f>F23-F27-F32-F33-F38-F40</f>
        <v>3772737361</v>
      </c>
      <c r="G31" s="47">
        <f>G23-G27-G32-G33-G38-G40</f>
        <v>3784050094.0000038</v>
      </c>
    </row>
    <row r="32" spans="1:7" x14ac:dyDescent="0.35">
      <c r="A32" t="s">
        <v>55</v>
      </c>
      <c r="B32" s="25">
        <f>'Donnees historiques'!D72</f>
        <v>590304</v>
      </c>
      <c r="C32" s="36">
        <f>B32</f>
        <v>590304</v>
      </c>
      <c r="D32" s="36">
        <f>C32</f>
        <v>590304</v>
      </c>
      <c r="E32" s="36">
        <f>D32</f>
        <v>590304</v>
      </c>
      <c r="F32" s="36">
        <f>E32</f>
        <v>590304</v>
      </c>
      <c r="G32" s="36">
        <f>F32</f>
        <v>590304</v>
      </c>
    </row>
    <row r="33" spans="1:7" x14ac:dyDescent="0.35">
      <c r="A33" t="s">
        <v>56</v>
      </c>
      <c r="B33" s="25">
        <f>'Donnees historiques'!D73</f>
        <v>6241613</v>
      </c>
      <c r="C33" s="36">
        <f>B33</f>
        <v>6241613</v>
      </c>
      <c r="D33" s="36">
        <f>C33</f>
        <v>6241613</v>
      </c>
      <c r="E33" s="36">
        <f>D33</f>
        <v>6241613</v>
      </c>
      <c r="F33" s="36">
        <f>E33</f>
        <v>6241613</v>
      </c>
      <c r="G33" s="36">
        <f>F33</f>
        <v>6241613</v>
      </c>
    </row>
    <row r="34" spans="1:7" x14ac:dyDescent="0.35">
      <c r="A34" s="17" t="s">
        <v>57</v>
      </c>
      <c r="B34" s="28">
        <f>SUM(B31:B33)</f>
        <v>3734318347</v>
      </c>
      <c r="C34" s="28">
        <f>SUM(C31:C33)</f>
        <v>3745631079</v>
      </c>
      <c r="D34" s="28">
        <f>SUM(D31:D33)</f>
        <v>3756943812</v>
      </c>
      <c r="E34" s="28">
        <f>SUM(E31:E33)</f>
        <v>3768256545</v>
      </c>
      <c r="F34" s="28">
        <f>SUM(F31:F33)</f>
        <v>3779569278</v>
      </c>
      <c r="G34" s="28">
        <f>SUM(G31:G33)</f>
        <v>3790882011.0000038</v>
      </c>
    </row>
    <row r="36" spans="1:7" x14ac:dyDescent="0.35">
      <c r="A36" t="s">
        <v>58</v>
      </c>
      <c r="B36" s="25">
        <f>'Donnees historiques'!D76</f>
        <v>623581373</v>
      </c>
      <c r="C36" s="36">
        <f>$B$52*C59</f>
        <v>831294343.41838694</v>
      </c>
      <c r="D36" s="36">
        <f>$B$52*D59</f>
        <v>1041160840.4026186</v>
      </c>
      <c r="E36" s="36">
        <f>$B$52*E59</f>
        <v>1270216225.2911949</v>
      </c>
      <c r="F36" s="36">
        <f>$B$52*F59</f>
        <v>1498855145.8436096</v>
      </c>
      <c r="G36" s="36">
        <f>$B$52*G59</f>
        <v>1723683417.7201512</v>
      </c>
    </row>
    <row r="37" spans="1:7" x14ac:dyDescent="0.35">
      <c r="A37" t="s">
        <v>59</v>
      </c>
      <c r="B37" s="25">
        <f>'Donnees historiques'!D77</f>
        <v>1453485752</v>
      </c>
      <c r="C37" s="36">
        <f>$B$53*C59</f>
        <v>1937637229.3866134</v>
      </c>
      <c r="D37" s="36">
        <f>$B$53*D59</f>
        <v>2426808292.5330615</v>
      </c>
      <c r="E37" s="36">
        <f>$B$53*E59</f>
        <v>2960706116.8903356</v>
      </c>
      <c r="F37" s="36">
        <f>$B$53*F59</f>
        <v>3493633217.9305949</v>
      </c>
      <c r="G37" s="36">
        <f>$B$53*G59</f>
        <v>4017678200.6201844</v>
      </c>
    </row>
    <row r="38" spans="1:7" x14ac:dyDescent="0.35">
      <c r="A38" s="17" t="s">
        <v>60</v>
      </c>
      <c r="B38" s="28">
        <f>SUM(B36:B37)</f>
        <v>2077067125</v>
      </c>
      <c r="C38" s="28">
        <f>SUM(C36:C37)</f>
        <v>2768931572.8050003</v>
      </c>
      <c r="D38" s="28">
        <f>SUM(D36:D37)</f>
        <v>3467969132.9356804</v>
      </c>
      <c r="E38" s="28">
        <f>SUM(E36:E37)</f>
        <v>4230922342.1815305</v>
      </c>
      <c r="F38" s="28">
        <f>SUM(F36:F37)</f>
        <v>4992488363.7742043</v>
      </c>
      <c r="G38" s="28">
        <f>SUM(G36:G37)</f>
        <v>5741361618.3403358</v>
      </c>
    </row>
    <row r="40" spans="1:7" x14ac:dyDescent="0.35">
      <c r="A40" t="s">
        <v>61</v>
      </c>
      <c r="B40" s="25">
        <f>'Donnees historiques'!D80</f>
        <v>749506532</v>
      </c>
      <c r="C40" s="36">
        <f>B40</f>
        <v>749506532</v>
      </c>
      <c r="D40" s="36">
        <f>C40</f>
        <v>749506532</v>
      </c>
      <c r="E40" s="36">
        <f>D40</f>
        <v>749506532</v>
      </c>
      <c r="F40" s="36">
        <f>E40</f>
        <v>749506532</v>
      </c>
      <c r="G40" s="36">
        <f>F40</f>
        <v>749506532</v>
      </c>
    </row>
    <row r="42" spans="1:7" x14ac:dyDescent="0.35">
      <c r="A42" s="18" t="s">
        <v>62</v>
      </c>
      <c r="B42" s="46">
        <f>B27+B34+B38+B40</f>
        <v>9486454589</v>
      </c>
      <c r="C42" s="46">
        <f>C27+C34+C38+C40</f>
        <v>10762416466.983538</v>
      </c>
      <c r="D42" s="46">
        <f>D27+D34+D38+D40</f>
        <v>12287047282.570751</v>
      </c>
      <c r="E42" s="46">
        <f>E27+E34+E38+E40</f>
        <v>14138845814.848045</v>
      </c>
      <c r="F42" s="46">
        <f>F27+F34+F38+F40</f>
        <v>16268982944.177914</v>
      </c>
      <c r="G42" s="46">
        <f>G27+G34+G38+G40</f>
        <v>18650866595.204117</v>
      </c>
    </row>
    <row r="44" spans="1:7" x14ac:dyDescent="0.35">
      <c r="A44" s="17" t="s">
        <v>192</v>
      </c>
      <c r="B44" s="28">
        <f>B23-B42</f>
        <v>-1</v>
      </c>
      <c r="C44" s="28">
        <f>C23-C42</f>
        <v>0</v>
      </c>
      <c r="D44" s="28">
        <f>D23-D42</f>
        <v>0</v>
      </c>
      <c r="E44" s="28">
        <f>E23-E42</f>
        <v>0</v>
      </c>
      <c r="F44" s="28">
        <f>F23-F42</f>
        <v>0</v>
      </c>
      <c r="G44" s="28">
        <f>G23-G42</f>
        <v>0</v>
      </c>
    </row>
    <row r="47" spans="1:7" x14ac:dyDescent="0.35">
      <c r="A47" s="34" t="s">
        <v>176</v>
      </c>
    </row>
    <row r="48" spans="1:7" x14ac:dyDescent="0.35">
      <c r="A48" t="s">
        <v>177</v>
      </c>
      <c r="B48" s="35">
        <f>'Donnees historiques'!D50/('Donnees historiques'!D50+'Donnees historiques'!D51+'Donnees historiques'!D52)</f>
        <v>0.10269420185290552</v>
      </c>
    </row>
    <row r="49" spans="1:7" x14ac:dyDescent="0.35">
      <c r="A49" t="s">
        <v>178</v>
      </c>
      <c r="B49" s="35">
        <f>'Donnees historiques'!D51/('Donnees historiques'!D50+'Donnees historiques'!D51+'Donnees historiques'!D52)</f>
        <v>0.67126426335773326</v>
      </c>
    </row>
    <row r="50" spans="1:7" x14ac:dyDescent="0.35">
      <c r="A50" t="s">
        <v>179</v>
      </c>
      <c r="B50" s="35">
        <f>'Donnees historiques'!D52/('Donnees historiques'!D50+'Donnees historiques'!D51+'Donnees historiques'!D52)</f>
        <v>0.22604153478936123</v>
      </c>
    </row>
    <row r="51" spans="1:7" x14ac:dyDescent="0.35">
      <c r="A51" t="s">
        <v>180</v>
      </c>
      <c r="B51" s="35">
        <f>('Donnees historiques'!D50+'Donnees historiques'!D51+'Donnees historiques'!D52)/'Donnees historiques'!D6</f>
        <v>0.51473642378778273</v>
      </c>
    </row>
    <row r="52" spans="1:7" x14ac:dyDescent="0.35">
      <c r="A52" t="s">
        <v>181</v>
      </c>
      <c r="B52" s="35">
        <f>'Donnees historiques'!D76/('Donnees historiques'!D76+'Donnees historiques'!D77)</f>
        <v>0.30022206095048565</v>
      </c>
    </row>
    <row r="53" spans="1:7" x14ac:dyDescent="0.35">
      <c r="A53" t="s">
        <v>182</v>
      </c>
      <c r="B53" s="35">
        <f>'Donnees historiques'!D77/('Donnees historiques'!D76+'Donnees historiques'!D77)</f>
        <v>0.69977793904951435</v>
      </c>
    </row>
    <row r="54" spans="1:7" x14ac:dyDescent="0.35">
      <c r="A54" s="17" t="s">
        <v>183</v>
      </c>
      <c r="C54" s="27">
        <v>0</v>
      </c>
      <c r="D54" s="27">
        <v>0</v>
      </c>
      <c r="E54" s="27">
        <v>0</v>
      </c>
      <c r="F54" s="27">
        <v>0</v>
      </c>
      <c r="G54" s="27">
        <v>0</v>
      </c>
    </row>
    <row r="56" spans="1:7" x14ac:dyDescent="0.35">
      <c r="A56" t="s">
        <v>184</v>
      </c>
      <c r="C56" s="36">
        <f>Hypothèses!E32*'Compte de résultat'!C6</f>
        <v>2502388883.3580003</v>
      </c>
      <c r="D56" s="36">
        <f>Hypothèses!F32*'Compte de résultat'!D6</f>
        <v>2669214808.9152002</v>
      </c>
      <c r="E56" s="36">
        <f>Hypothèses!G32*'Compte de résultat'!E6</f>
        <v>1674741634.3936515</v>
      </c>
      <c r="F56" s="36">
        <f>Hypothèses!H32*'Compte de résultat'!F6</f>
        <v>1537040655.5657289</v>
      </c>
      <c r="G56" s="36">
        <f>Hypothèses!I32*'Compte de résultat'!G6</f>
        <v>1515082931.9147897</v>
      </c>
    </row>
    <row r="57" spans="1:7" x14ac:dyDescent="0.35">
      <c r="A57" t="s">
        <v>185</v>
      </c>
      <c r="B57" s="25">
        <f>'Donnees historiques'!D50+'Donnees historiques'!D51+'Donnees historiques'!D52-'Donnees historiques'!D76-'Donnees historiques'!D77</f>
        <v>194662513</v>
      </c>
      <c r="C57" s="36">
        <f>Hypothèses!E25*'Compte de résultat'!C6</f>
        <v>297903438.49500006</v>
      </c>
      <c r="D57" s="36">
        <f>Hypothèses!F25*'Compte de résultat'!D6</f>
        <v>457579681.52832007</v>
      </c>
      <c r="E57" s="36">
        <f>Hypothèses!G25*'Compte de résultat'!E6</f>
        <v>558247211.4645505</v>
      </c>
      <c r="F57" s="36">
        <f>Hypothèses!H25*'Compte de résultat'!F6</f>
        <v>658731709.52816951</v>
      </c>
      <c r="G57" s="36">
        <f>Hypothèses!I25*'Compte de résultat'!G6</f>
        <v>757541465.95739484</v>
      </c>
    </row>
    <row r="58" spans="1:7" x14ac:dyDescent="0.35">
      <c r="A58" t="s">
        <v>186</v>
      </c>
      <c r="C58" s="36">
        <f>$B$51*'Compte de résultat'!C6</f>
        <v>3066835011.3000002</v>
      </c>
      <c r="D58" s="36">
        <f>$B$51*'Compte de résultat'!D6</f>
        <v>3925548814.4640002</v>
      </c>
      <c r="E58" s="36">
        <f>$B$51*'Compte de résultat'!E6</f>
        <v>4789169553.646081</v>
      </c>
      <c r="F58" s="36">
        <f>$B$51*'Compte de résultat'!F6</f>
        <v>5651220073.3023739</v>
      </c>
      <c r="G58" s="36">
        <f>$B$51*'Compte de résultat'!G6</f>
        <v>6498903084.2977304</v>
      </c>
    </row>
    <row r="59" spans="1:7" x14ac:dyDescent="0.35">
      <c r="A59" t="s">
        <v>187</v>
      </c>
      <c r="C59" s="36">
        <f>C58-C57</f>
        <v>2768931572.8050003</v>
      </c>
      <c r="D59" s="36">
        <f>D58-D57</f>
        <v>3467969132.9356804</v>
      </c>
      <c r="E59" s="36">
        <f>E58-E57</f>
        <v>4230922342.1815305</v>
      </c>
      <c r="F59" s="36">
        <f>F58-F57</f>
        <v>4992488363.7742043</v>
      </c>
      <c r="G59" s="36">
        <f>G58-G57</f>
        <v>5741361618.3403358</v>
      </c>
    </row>
    <row r="60" spans="1:7" x14ac:dyDescent="0.35">
      <c r="A60" t="s">
        <v>188</v>
      </c>
      <c r="C60" s="36">
        <f>C54*'Compte de résultat'!C31</f>
        <v>0</v>
      </c>
      <c r="D60" s="36">
        <f>D54*'Compte de résultat'!D31</f>
        <v>0</v>
      </c>
      <c r="E60" s="36">
        <f>E54*'Compte de résultat'!E31</f>
        <v>0</v>
      </c>
      <c r="F60" s="36">
        <f>F54*'Compte de résultat'!F31</f>
        <v>0</v>
      </c>
      <c r="G60" s="36">
        <f>G54*'Compte de résultat'!G31</f>
        <v>0</v>
      </c>
    </row>
    <row r="61" spans="1:7" x14ac:dyDescent="0.35">
      <c r="A61" t="s">
        <v>189</v>
      </c>
      <c r="C61" s="36">
        <f>'Compte de résultat'!C31-'Compte de résultat'!C14-'Compte de résultat'!C27-(C57-B57)</f>
        <v>1068735850.3729131</v>
      </c>
      <c r="D61" s="36">
        <f>'Compte de résultat'!D31-'Compte de résultat'!D14-'Compte de résultat'!D27-(D57-C57)</f>
        <v>1418402573.6256151</v>
      </c>
      <c r="E61" s="36">
        <f>'Compte de résultat'!E31-'Compte de résultat'!E14-'Compte de résultat'!E27-(E57-D57)</f>
        <v>1906210177.7621429</v>
      </c>
      <c r="F61" s="36">
        <f>'Compte de résultat'!F31-'Compte de résultat'!F14-'Compte de résultat'!F27-(F57-E57)</f>
        <v>2351364823.5805521</v>
      </c>
      <c r="G61" s="36">
        <f>'Compte de résultat'!G31-'Compte de résultat'!G14-'Compte de résultat'!G27-(G57-F57)</f>
        <v>2779970586.0238671</v>
      </c>
    </row>
    <row r="63" spans="1:7" x14ac:dyDescent="0.35">
      <c r="A63" s="30" t="s">
        <v>166</v>
      </c>
    </row>
    <row r="64" spans="1:7" x14ac:dyDescent="0.35">
      <c r="A64" s="15" t="s">
        <v>193</v>
      </c>
    </row>
    <row r="65" spans="1:1" x14ac:dyDescent="0.35">
      <c r="A65" s="15" t="s">
        <v>194</v>
      </c>
    </row>
    <row r="66" spans="1:1" x14ac:dyDescent="0.35">
      <c r="A66" s="15" t="s">
        <v>195</v>
      </c>
    </row>
    <row r="67" spans="1:1" x14ac:dyDescent="0.35">
      <c r="A67" s="16" t="s">
        <v>196</v>
      </c>
    </row>
    <row r="68" spans="1:1" x14ac:dyDescent="0.35">
      <c r="A68" s="48" t="s">
        <v>197</v>
      </c>
    </row>
    <row r="69" spans="1:1" x14ac:dyDescent="0.35">
      <c r="A69" s="15" t="s">
        <v>198</v>
      </c>
    </row>
  </sheetData>
  <pageMargins left="0.41666666666666669" right="0.41666666666666669" top="0.69444444444444442" bottom="0.55555555555555558" header="0.3" footer="0.3"/>
  <pageSetup scale="71" fitToHeight="0" orientation="landscape" r:id="rId1"/>
  <headerFooter>
    <oddHeader>&amp;CAKDITAL S.A. — Bilan prévisionnel</oddHeader>
    <oddFooter>&amp;CPage &amp;P sur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23E3-57FB-462B-90A0-AC6B7C6CBFBF}">
  <sheetPr>
    <pageSetUpPr fitToPage="1"/>
  </sheetPr>
  <dimension ref="A1:G38"/>
  <sheetViews>
    <sheetView showGridLines="0" zoomScale="58" workbookViewId="0">
      <pane ySplit="5" topLeftCell="A6" activePane="bottomLeft" state="frozen"/>
      <selection activeCell="U4" sqref="U4"/>
      <selection pane="bottomLeft" activeCell="U4" sqref="U4"/>
    </sheetView>
  </sheetViews>
  <sheetFormatPr defaultRowHeight="14.5" x14ac:dyDescent="0.35"/>
  <cols>
    <col min="1" max="1" width="78.1796875" customWidth="1"/>
    <col min="2" max="7" width="17.26953125" customWidth="1"/>
  </cols>
  <sheetData>
    <row r="1" spans="1:7" ht="22" customHeight="1" x14ac:dyDescent="0.45">
      <c r="A1" s="14" t="s">
        <v>199</v>
      </c>
    </row>
    <row r="2" spans="1:7" x14ac:dyDescent="0.35">
      <c r="A2" s="16" t="s">
        <v>200</v>
      </c>
    </row>
    <row r="4" spans="1:7" x14ac:dyDescent="0.35">
      <c r="A4" s="23" t="s">
        <v>201</v>
      </c>
      <c r="B4" s="24"/>
      <c r="C4" s="24"/>
      <c r="D4" s="24"/>
      <c r="E4" s="24"/>
      <c r="F4" s="24"/>
      <c r="G4" s="24"/>
    </row>
    <row r="5" spans="1:7" x14ac:dyDescent="0.35">
      <c r="B5" s="31">
        <v>2025</v>
      </c>
      <c r="C5" s="32">
        <v>2026</v>
      </c>
      <c r="D5" s="32">
        <v>2027</v>
      </c>
      <c r="E5" s="32">
        <v>2028</v>
      </c>
      <c r="F5" s="32">
        <v>2029</v>
      </c>
      <c r="G5" s="32">
        <v>2030</v>
      </c>
    </row>
    <row r="6" spans="1:7" x14ac:dyDescent="0.35">
      <c r="A6" t="s">
        <v>65</v>
      </c>
      <c r="B6" s="25">
        <f>'Donnees historiques'!D89</f>
        <v>494331591</v>
      </c>
      <c r="C6" s="25">
        <f>'Compte de résultat'!C31</f>
        <v>572784698.17853701</v>
      </c>
      <c r="D6" s="25">
        <f>'Compte de résultat'!D31</f>
        <v>814280522.45653367</v>
      </c>
      <c r="E6" s="25">
        <f>'Compte de résultat'!E31</f>
        <v>1077532590.0314434</v>
      </c>
      <c r="F6" s="25">
        <f>'Compte de résultat'!F31</f>
        <v>1357258374.7371941</v>
      </c>
      <c r="G6" s="25">
        <f>'Compte de résultat'!G31</f>
        <v>1621697663.4600692</v>
      </c>
    </row>
    <row r="7" spans="1:7" x14ac:dyDescent="0.35">
      <c r="A7" t="s">
        <v>202</v>
      </c>
      <c r="B7" s="25">
        <f>'Donnees historiques'!D90+'Donnees historiques'!D91+'Donnees historiques'!D92+'Donnees historiques'!D93</f>
        <v>460974370</v>
      </c>
      <c r="C7" s="36">
        <f>-'Compte de résultat'!C14-'Compte de résultat'!C27</f>
        <v>599192077.68937624</v>
      </c>
      <c r="D7" s="36">
        <f>-'Compte de résultat'!D14-'Compte de résultat'!D27</f>
        <v>763798294.20240152</v>
      </c>
      <c r="E7" s="36">
        <f>-'Compte de résultat'!E14-'Compte de résultat'!E27</f>
        <v>929345117.66692996</v>
      </c>
      <c r="F7" s="36">
        <f>-'Compte de résultat'!F14-'Compte de résultat'!F27</f>
        <v>1094590946.9069772</v>
      </c>
      <c r="G7" s="36">
        <f>-'Compte de résultat'!G14-'Compte de résultat'!G27</f>
        <v>1257082678.9930236</v>
      </c>
    </row>
    <row r="8" spans="1:7" x14ac:dyDescent="0.35">
      <c r="A8" s="17" t="s">
        <v>203</v>
      </c>
      <c r="B8" s="28">
        <f>SUM(B6:B7)</f>
        <v>955305961</v>
      </c>
      <c r="C8" s="28">
        <f>SUM(C6:C7)</f>
        <v>1171976775.8679132</v>
      </c>
      <c r="D8" s="28">
        <f>SUM(D6:D7)</f>
        <v>1578078816.6589351</v>
      </c>
      <c r="E8" s="28">
        <f>SUM(E6:E7)</f>
        <v>2006877707.6983733</v>
      </c>
      <c r="F8" s="28">
        <f>SUM(F6:F7)</f>
        <v>2451849321.6441712</v>
      </c>
      <c r="G8" s="28">
        <f>SUM(G6:G7)</f>
        <v>2878780342.4530926</v>
      </c>
    </row>
    <row r="10" spans="1:7" x14ac:dyDescent="0.35">
      <c r="A10" t="s">
        <v>72</v>
      </c>
      <c r="B10" s="25">
        <f>'Donnees historiques'!D96</f>
        <v>-803125603</v>
      </c>
      <c r="C10" s="36">
        <f>-((Bilan!C15+Bilan!C16+Bilan!C17-Bilan!C36-Bilan!C37)-(Bilan!B15+Bilan!B16+Bilan!B17-Bilan!B36-Bilan!B37))</f>
        <v>-103240925.49499989</v>
      </c>
      <c r="D10" s="36">
        <f>-((Bilan!D15+Bilan!D16+Bilan!D17-Bilan!D36-Bilan!D37)-(Bilan!C15+Bilan!C16+Bilan!C17-Bilan!C36-Bilan!C37))</f>
        <v>-159676243.03331995</v>
      </c>
      <c r="E10" s="36">
        <f>-((Bilan!E15+Bilan!E16+Bilan!E17-Bilan!E36-Bilan!E37)-(Bilan!D15+Bilan!D16+Bilan!D17-Bilan!D36-Bilan!D37))</f>
        <v>-100667529.93623161</v>
      </c>
      <c r="F10" s="36">
        <f>-((Bilan!F15+Bilan!F16+Bilan!F17-Bilan!F36-Bilan!F37)-(Bilan!E15+Bilan!E16+Bilan!E17-Bilan!E36-Bilan!E37))</f>
        <v>-100484498.06361771</v>
      </c>
      <c r="G10" s="36">
        <f>-((Bilan!G15+Bilan!G16+Bilan!G17-Bilan!G36-Bilan!G37)-(Bilan!F15+Bilan!F16+Bilan!F17-Bilan!F36-Bilan!F37))</f>
        <v>-98809756.429226875</v>
      </c>
    </row>
    <row r="12" spans="1:7" x14ac:dyDescent="0.35">
      <c r="A12" s="17" t="s">
        <v>204</v>
      </c>
      <c r="B12" s="28">
        <f>B8+B10</f>
        <v>152180358</v>
      </c>
      <c r="C12" s="28">
        <f>C8+C10</f>
        <v>1068735850.3729134</v>
      </c>
      <c r="D12" s="28">
        <f>D8+D10</f>
        <v>1418402573.6256151</v>
      </c>
      <c r="E12" s="28">
        <f>E8+E10</f>
        <v>1906210177.7621417</v>
      </c>
      <c r="F12" s="28">
        <f>F8+F10</f>
        <v>2351364823.5805535</v>
      </c>
      <c r="G12" s="28">
        <f>G8+G10</f>
        <v>2779970586.0238657</v>
      </c>
    </row>
    <row r="14" spans="1:7" x14ac:dyDescent="0.35">
      <c r="A14" t="s">
        <v>74</v>
      </c>
      <c r="B14" s="25">
        <f>'Donnees historiques'!D100</f>
        <v>-2218304904</v>
      </c>
      <c r="C14" s="36">
        <f>-Bilan!C56</f>
        <v>-2502388883.3580003</v>
      </c>
      <c r="D14" s="36">
        <f>-Bilan!D56</f>
        <v>-2669214808.9152002</v>
      </c>
      <c r="E14" s="36">
        <f>-Bilan!E56</f>
        <v>-1674741634.3936515</v>
      </c>
      <c r="F14" s="36">
        <f>-Bilan!F56</f>
        <v>-1537040655.5657289</v>
      </c>
      <c r="G14" s="36">
        <f>-Bilan!G56</f>
        <v>-1515082931.9147897</v>
      </c>
    </row>
    <row r="16" spans="1:7" x14ac:dyDescent="0.35">
      <c r="A16" s="17" t="s">
        <v>205</v>
      </c>
      <c r="B16" s="45">
        <f>'Donnees historiques'!D103</f>
        <v>-2220513729</v>
      </c>
      <c r="C16" s="28">
        <f>C14</f>
        <v>-2502388883.3580003</v>
      </c>
      <c r="D16" s="28">
        <f>D14</f>
        <v>-2669214808.9152002</v>
      </c>
      <c r="E16" s="28">
        <f>E14</f>
        <v>-1674741634.3936515</v>
      </c>
      <c r="F16" s="28">
        <f>F14</f>
        <v>-1537040655.5657289</v>
      </c>
      <c r="G16" s="28">
        <f>G14</f>
        <v>-1515082931.9147897</v>
      </c>
    </row>
    <row r="18" spans="1:7" x14ac:dyDescent="0.35">
      <c r="A18" t="s">
        <v>206</v>
      </c>
      <c r="B18" s="25">
        <f>'Donnees historiques'!D105+'Donnees historiques'!D106</f>
        <v>-176685368</v>
      </c>
      <c r="C18" s="36">
        <f>-Bilan!C60</f>
        <v>0</v>
      </c>
      <c r="D18" s="36">
        <f>-Bilan!D60</f>
        <v>0</v>
      </c>
      <c r="E18" s="36">
        <f>-Bilan!E60</f>
        <v>0</v>
      </c>
      <c r="F18" s="36">
        <f>-Bilan!F60</f>
        <v>0</v>
      </c>
      <c r="G18" s="36">
        <f>-Bilan!G60</f>
        <v>0</v>
      </c>
    </row>
    <row r="20" spans="1:7" x14ac:dyDescent="0.35">
      <c r="A20" s="17" t="s">
        <v>207</v>
      </c>
      <c r="B20" s="45">
        <f>'Donnees historiques'!D110</f>
        <v>1781602170</v>
      </c>
      <c r="C20" s="28">
        <f>C18</f>
        <v>0</v>
      </c>
      <c r="D20" s="28">
        <f>D18</f>
        <v>0</v>
      </c>
      <c r="E20" s="28">
        <f>E18</f>
        <v>0</v>
      </c>
      <c r="F20" s="28">
        <f>F18</f>
        <v>0</v>
      </c>
      <c r="G20" s="28">
        <f>G18</f>
        <v>0</v>
      </c>
    </row>
    <row r="22" spans="1:7" x14ac:dyDescent="0.35">
      <c r="A22" s="49" t="s">
        <v>208</v>
      </c>
      <c r="B22" s="37">
        <f>'Donnees historiques'!D108</f>
        <v>2260892340</v>
      </c>
      <c r="C22" s="50">
        <f>Bilan!C31-Bilan!B31</f>
        <v>11312732</v>
      </c>
      <c r="D22" s="50">
        <f>Bilan!D31-Bilan!C31</f>
        <v>11312733</v>
      </c>
      <c r="E22" s="50">
        <f>Bilan!E31-Bilan!D31</f>
        <v>11312733</v>
      </c>
      <c r="F22" s="50">
        <f>Bilan!F31-Bilan!E31</f>
        <v>11312733</v>
      </c>
      <c r="G22" s="50">
        <f>Bilan!G31-Bilan!F31</f>
        <v>11312733.000003815</v>
      </c>
    </row>
    <row r="24" spans="1:7" x14ac:dyDescent="0.35">
      <c r="A24" s="17" t="s">
        <v>209</v>
      </c>
      <c r="B24" s="28">
        <f>B12+B16+B20</f>
        <v>-286731201</v>
      </c>
      <c r="C24" s="28">
        <f>C12+C16+C20</f>
        <v>-1433653032.9850869</v>
      </c>
      <c r="D24" s="28">
        <f>D12+D16+D20</f>
        <v>-1250812235.2895851</v>
      </c>
      <c r="E24" s="28">
        <f>E12+E16+E20</f>
        <v>231468543.36849022</v>
      </c>
      <c r="F24" s="28">
        <f>F12+F16+F20</f>
        <v>814324168.01482463</v>
      </c>
      <c r="G24" s="28">
        <f>G12+G16+G20</f>
        <v>1264887654.109076</v>
      </c>
    </row>
    <row r="26" spans="1:7" x14ac:dyDescent="0.35">
      <c r="A26" t="s">
        <v>90</v>
      </c>
      <c r="B26" s="25">
        <f>'Donnees historiques'!C56</f>
        <v>575808633</v>
      </c>
      <c r="C26" s="36">
        <f>B27</f>
        <v>504349961</v>
      </c>
      <c r="D26" s="36">
        <f>C27</f>
        <v>-929303071.98508692</v>
      </c>
      <c r="E26" s="36">
        <f>D27</f>
        <v>-2180115307.274672</v>
      </c>
      <c r="F26" s="36">
        <f>E27</f>
        <v>-1948646763.9061818</v>
      </c>
      <c r="G26" s="36">
        <f>F27</f>
        <v>-1134322595.8913572</v>
      </c>
    </row>
    <row r="27" spans="1:7" x14ac:dyDescent="0.35">
      <c r="A27" s="17" t="s">
        <v>91</v>
      </c>
      <c r="B27" s="45">
        <f>'Donnees historiques'!D56</f>
        <v>504349961</v>
      </c>
      <c r="C27" s="28">
        <f>C26+C24</f>
        <v>-929303071.98508692</v>
      </c>
      <c r="D27" s="28">
        <f>D26+D24</f>
        <v>-2180115307.274672</v>
      </c>
      <c r="E27" s="28">
        <f>E26+E24</f>
        <v>-1948646763.9061818</v>
      </c>
      <c r="F27" s="28">
        <f>F26+F24</f>
        <v>-1134322595.8913572</v>
      </c>
      <c r="G27" s="28">
        <f>G26+G24</f>
        <v>130565058.21771884</v>
      </c>
    </row>
    <row r="29" spans="1:7" x14ac:dyDescent="0.35">
      <c r="A29" s="18" t="s">
        <v>210</v>
      </c>
      <c r="B29" s="46">
        <f>B27-Bilan!B21</f>
        <v>0</v>
      </c>
      <c r="C29" s="46">
        <f>C27-Bilan!C21</f>
        <v>0</v>
      </c>
      <c r="D29" s="46">
        <f>D27-Bilan!D21</f>
        <v>0</v>
      </c>
      <c r="E29" s="46">
        <f>E27-Bilan!E21</f>
        <v>0</v>
      </c>
      <c r="F29" s="46">
        <f>F27-Bilan!F21</f>
        <v>0</v>
      </c>
      <c r="G29" s="46">
        <f>G27-Bilan!G21</f>
        <v>-7.152557373046875E-7</v>
      </c>
    </row>
    <row r="32" spans="1:7" x14ac:dyDescent="0.35">
      <c r="A32" s="30" t="s">
        <v>166</v>
      </c>
    </row>
    <row r="33" spans="1:1" x14ac:dyDescent="0.35">
      <c r="A33" s="15" t="s">
        <v>211</v>
      </c>
    </row>
    <row r="34" spans="1:1" x14ac:dyDescent="0.35">
      <c r="A34" s="15" t="s">
        <v>212</v>
      </c>
    </row>
    <row r="35" spans="1:1" x14ac:dyDescent="0.35">
      <c r="A35" s="15" t="s">
        <v>213</v>
      </c>
    </row>
    <row r="36" spans="1:1" x14ac:dyDescent="0.35">
      <c r="A36" s="48" t="s">
        <v>214</v>
      </c>
    </row>
    <row r="37" spans="1:1" x14ac:dyDescent="0.35">
      <c r="A37" s="16" t="s">
        <v>215</v>
      </c>
    </row>
    <row r="38" spans="1:1" x14ac:dyDescent="0.35">
      <c r="A38" s="15" t="s">
        <v>216</v>
      </c>
    </row>
  </sheetData>
  <pageMargins left="0.41666666666666669" right="0.41666666666666669" top="0.69444444444444442" bottom="0.55555555555555558" header="0.3" footer="0.3"/>
  <pageSetup scale="71" fitToHeight="0" orientation="landscape" r:id="rId1"/>
  <headerFooter>
    <oddHeader>&amp;CAKDITAL S.A. — Tableau de flux de trésorerie prévisionnel</oddHeader>
    <oddFooter>&amp;CPage &amp;P sur &amp;N&amp;R&amp;D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40AE-53A8-47E1-9A29-87523FA4FEC1}">
  <sheetPr>
    <pageSetUpPr fitToPage="1"/>
  </sheetPr>
  <dimension ref="A1:J96"/>
  <sheetViews>
    <sheetView showGridLines="0" showRowColHeaders="0" zoomScale="67" workbookViewId="0">
      <pane ySplit="5" topLeftCell="A60" activePane="bottomLeft" state="frozen"/>
      <selection activeCell="U4" sqref="U4"/>
      <selection pane="bottomLeft" activeCell="U4" sqref="U4"/>
      <extLst>
        <ext xmlns:xlsdti="http://schemas.microsoft.com/office/spreadsheetml/2023/showDataTypeIcons" uri="{77bfe23e-c014-4d31-8a63-9c772dbf06b6}">
          <xlsdti:showDataTypeIcons visible="0"/>
        </ext>
      </extLst>
    </sheetView>
  </sheetViews>
  <sheetFormatPr defaultRowHeight="14.5" x14ac:dyDescent="0.35"/>
  <cols>
    <col min="1" max="1" width="78.1796875" customWidth="1"/>
    <col min="2" max="7" width="17.26953125" customWidth="1"/>
    <col min="8" max="8" width="17.36328125" customWidth="1"/>
    <col min="9" max="9" width="15.26953125" customWidth="1"/>
    <col min="10" max="10" width="14.54296875" customWidth="1"/>
  </cols>
  <sheetData>
    <row r="1" spans="1:7" ht="22" customHeight="1" x14ac:dyDescent="0.45">
      <c r="A1" s="14" t="s">
        <v>217</v>
      </c>
    </row>
    <row r="2" spans="1:7" x14ac:dyDescent="0.35">
      <c r="A2" s="16" t="s">
        <v>218</v>
      </c>
    </row>
    <row r="4" spans="1:7" x14ac:dyDescent="0.35">
      <c r="A4" s="23" t="s">
        <v>219</v>
      </c>
      <c r="B4" s="24"/>
      <c r="C4" s="24"/>
      <c r="D4" s="24"/>
      <c r="E4" s="24"/>
      <c r="F4" s="24"/>
      <c r="G4" s="24"/>
    </row>
    <row r="5" spans="1:7" x14ac:dyDescent="0.35">
      <c r="C5" s="31">
        <v>2026</v>
      </c>
      <c r="D5" s="31">
        <v>2027</v>
      </c>
      <c r="E5" s="31">
        <v>2028</v>
      </c>
      <c r="F5" s="31">
        <v>2029</v>
      </c>
      <c r="G5" s="31">
        <v>2030</v>
      </c>
    </row>
    <row r="6" spans="1:7" x14ac:dyDescent="0.35">
      <c r="A6" t="s">
        <v>220</v>
      </c>
      <c r="C6" s="25">
        <f>'Compte de résultat'!C17</f>
        <v>1020799223.1836243</v>
      </c>
      <c r="D6" s="25">
        <f>'Compte de résultat'!D17</f>
        <v>1382886285.929759</v>
      </c>
      <c r="E6" s="25">
        <f>'Compte de résultat'!E17</f>
        <v>1780162470.7450638</v>
      </c>
      <c r="F6" s="25">
        <f>'Compte de résultat'!F17</f>
        <v>2210380333.7338715</v>
      </c>
      <c r="G6" s="25">
        <f>'Compte de résultat'!G17</f>
        <v>2605065839.2904015</v>
      </c>
    </row>
    <row r="7" spans="1:7" x14ac:dyDescent="0.35">
      <c r="A7" t="s">
        <v>221</v>
      </c>
      <c r="C7" s="35">
        <f>Hypothèses!E40</f>
        <v>0.3</v>
      </c>
      <c r="D7" s="35">
        <f>Hypothèses!F40</f>
        <v>0.31</v>
      </c>
      <c r="E7" s="35">
        <f>Hypothèses!G40</f>
        <v>0.32</v>
      </c>
      <c r="F7" s="35">
        <f>Hypothèses!H40</f>
        <v>0.33</v>
      </c>
      <c r="G7" s="35">
        <f>Hypothèses!I40</f>
        <v>0.33</v>
      </c>
    </row>
    <row r="8" spans="1:7" x14ac:dyDescent="0.35">
      <c r="A8" t="s">
        <v>222</v>
      </c>
      <c r="C8" s="36">
        <f>-C6*C7</f>
        <v>-306239766.95508724</v>
      </c>
      <c r="D8" s="36">
        <f>-D6*D7</f>
        <v>-428694748.63822532</v>
      </c>
      <c r="E8" s="36">
        <f>-E6*E7</f>
        <v>-569651990.63842046</v>
      </c>
      <c r="F8" s="36">
        <f>-F6*F7</f>
        <v>-729425510.13217759</v>
      </c>
      <c r="G8" s="36">
        <f>-G6*G7</f>
        <v>-859671726.96583247</v>
      </c>
    </row>
    <row r="9" spans="1:7" x14ac:dyDescent="0.35">
      <c r="A9" s="17" t="s">
        <v>223</v>
      </c>
      <c r="C9" s="28">
        <f>C6+C8</f>
        <v>714559456.22853708</v>
      </c>
      <c r="D9" s="28">
        <f>D6+D8</f>
        <v>954191537.29153371</v>
      </c>
      <c r="E9" s="28">
        <f>E6+E8</f>
        <v>1210510480.1066432</v>
      </c>
      <c r="F9" s="28">
        <f>F6+F8</f>
        <v>1480954823.6016939</v>
      </c>
      <c r="G9" s="28">
        <f>G6+G8</f>
        <v>1745394112.324569</v>
      </c>
    </row>
    <row r="11" spans="1:7" x14ac:dyDescent="0.35">
      <c r="A11" t="s">
        <v>224</v>
      </c>
      <c r="C11" s="36">
        <f>-'Compte de résultat'!C14-'Compte de résultat'!C27</f>
        <v>599192077.68937624</v>
      </c>
      <c r="D11" s="36">
        <f>-'Compte de résultat'!D14-'Compte de résultat'!D27</f>
        <v>763798294.20240152</v>
      </c>
      <c r="E11" s="36">
        <f>-'Compte de résultat'!E14-'Compte de résultat'!E27</f>
        <v>929345117.66692996</v>
      </c>
      <c r="F11" s="36">
        <f>-'Compte de résultat'!F14-'Compte de résultat'!F27</f>
        <v>1094590946.9069772</v>
      </c>
      <c r="G11" s="36">
        <f>-'Compte de résultat'!G14-'Compte de résultat'!G27</f>
        <v>1257082678.9930236</v>
      </c>
    </row>
    <row r="12" spans="1:7" x14ac:dyDescent="0.35">
      <c r="A12" t="s">
        <v>225</v>
      </c>
      <c r="C12" s="36">
        <f>-Bilan!C56</f>
        <v>-2502388883.3580003</v>
      </c>
      <c r="D12" s="36">
        <f>-Bilan!D56</f>
        <v>-2669214808.9152002</v>
      </c>
      <c r="E12" s="36">
        <f>-Bilan!E56</f>
        <v>-1674741634.3936515</v>
      </c>
      <c r="F12" s="36">
        <f>-Bilan!F56</f>
        <v>-1537040655.5657289</v>
      </c>
      <c r="G12" s="36">
        <f>-Bilan!G56</f>
        <v>-1515082931.9147897</v>
      </c>
    </row>
    <row r="13" spans="1:7" x14ac:dyDescent="0.35">
      <c r="A13" t="s">
        <v>226</v>
      </c>
      <c r="C13" s="25">
        <f>TFT!C10</f>
        <v>-103240925.49499989</v>
      </c>
      <c r="D13" s="25">
        <f>TFT!D10</f>
        <v>-159676243.03331995</v>
      </c>
      <c r="E13" s="25">
        <f>TFT!E10</f>
        <v>-100667529.93623161</v>
      </c>
      <c r="F13" s="25">
        <f>TFT!F10</f>
        <v>-100484498.06361771</v>
      </c>
      <c r="G13" s="25">
        <f>TFT!G10</f>
        <v>-98809756.429226875</v>
      </c>
    </row>
    <row r="15" spans="1:7" x14ac:dyDescent="0.35">
      <c r="A15" s="18" t="s">
        <v>227</v>
      </c>
      <c r="C15" s="46">
        <f>C9+C11+C12+C13</f>
        <v>-1291878274.9350867</v>
      </c>
      <c r="D15" s="46">
        <f>D9+D11+D12+D13</f>
        <v>-1110901220.4545851</v>
      </c>
      <c r="E15" s="46">
        <f>E9+E11+E12+E13</f>
        <v>364446433.44369006</v>
      </c>
      <c r="F15" s="46">
        <f>F9+F11+F12+F13</f>
        <v>938020616.8793242</v>
      </c>
      <c r="G15" s="46">
        <f>G9+G11+G12+G13</f>
        <v>1388584102.9735761</v>
      </c>
    </row>
    <row r="18" spans="1:3" x14ac:dyDescent="0.35">
      <c r="A18" s="23" t="s">
        <v>228</v>
      </c>
      <c r="B18" s="24"/>
      <c r="C18" s="24"/>
    </row>
    <row r="19" spans="1:3" x14ac:dyDescent="0.35">
      <c r="A19" t="s">
        <v>229</v>
      </c>
      <c r="C19" s="51">
        <v>3.4000000000000002E-2</v>
      </c>
    </row>
    <row r="20" spans="1:3" x14ac:dyDescent="0.35">
      <c r="A20" t="s">
        <v>230</v>
      </c>
      <c r="C20" s="52">
        <v>0.55000000000000004</v>
      </c>
    </row>
    <row r="21" spans="1:3" x14ac:dyDescent="0.35">
      <c r="A21" t="s">
        <v>231</v>
      </c>
      <c r="C21" s="51">
        <v>6.5000000000000002E-2</v>
      </c>
    </row>
    <row r="22" spans="1:3" x14ac:dyDescent="0.35">
      <c r="A22" t="s">
        <v>232</v>
      </c>
      <c r="C22" s="35">
        <f>Hypothèses!E40</f>
        <v>0.3</v>
      </c>
    </row>
    <row r="23" spans="1:3" x14ac:dyDescent="0.35">
      <c r="A23" t="s">
        <v>233</v>
      </c>
      <c r="C23" s="25">
        <f>Bilan!B31-Bilan!B21</f>
        <v>3223136469</v>
      </c>
    </row>
    <row r="24" spans="1:3" x14ac:dyDescent="0.35">
      <c r="A24" t="s">
        <v>260</v>
      </c>
      <c r="C24" s="25">
        <f>C56*C54</f>
        <v>16566272190</v>
      </c>
    </row>
    <row r="25" spans="1:3" x14ac:dyDescent="0.35">
      <c r="A25" t="s">
        <v>261</v>
      </c>
      <c r="C25" s="53">
        <f>C23/C24</f>
        <v>0.19456015403064555</v>
      </c>
    </row>
    <row r="26" spans="1:3" x14ac:dyDescent="0.35">
      <c r="A26" t="s">
        <v>234</v>
      </c>
      <c r="C26" s="54">
        <f>C20*(1+(1-C22)*C25)</f>
        <v>0.62490565930179853</v>
      </c>
    </row>
    <row r="27" spans="1:3" x14ac:dyDescent="0.35">
      <c r="A27" t="s">
        <v>235</v>
      </c>
      <c r="C27" s="55">
        <f>C19+C26*C21</f>
        <v>7.461886785461691E-2</v>
      </c>
    </row>
    <row r="28" spans="1:3" x14ac:dyDescent="0.35">
      <c r="A28" t="s">
        <v>236</v>
      </c>
      <c r="C28" s="56">
        <f>AVERAGE(Hypothèses!E47:I47)</f>
        <v>4.7599999999999996E-2</v>
      </c>
    </row>
    <row r="29" spans="1:3" x14ac:dyDescent="0.35">
      <c r="A29" t="s">
        <v>237</v>
      </c>
      <c r="C29" s="57">
        <f>C28*(1-C22)</f>
        <v>3.3319999999999995E-2</v>
      </c>
    </row>
    <row r="30" spans="1:3" x14ac:dyDescent="0.35">
      <c r="A30" t="s">
        <v>262</v>
      </c>
      <c r="C30" s="26">
        <f>C24/(C23+C24)</f>
        <v>0.83712820708595792</v>
      </c>
    </row>
    <row r="31" spans="1:3" x14ac:dyDescent="0.35">
      <c r="A31" t="s">
        <v>263</v>
      </c>
      <c r="C31" s="26">
        <f>C23/(C23+C24)</f>
        <v>0.16287179291404213</v>
      </c>
    </row>
    <row r="32" spans="1:3" x14ac:dyDescent="0.35">
      <c r="A32" s="18" t="s">
        <v>238</v>
      </c>
      <c r="C32" s="58">
        <f>C27*C30+C29*C31</f>
        <v>6.7892447201815351E-2</v>
      </c>
    </row>
    <row r="34" spans="1:10" x14ac:dyDescent="0.35">
      <c r="A34" s="23" t="s">
        <v>239</v>
      </c>
      <c r="B34" s="24"/>
      <c r="C34" s="24"/>
    </row>
    <row r="35" spans="1:10" x14ac:dyDescent="0.35">
      <c r="A35" t="s">
        <v>240</v>
      </c>
      <c r="C35" s="59">
        <v>2.5000000000000001E-2</v>
      </c>
    </row>
    <row r="36" spans="1:10" x14ac:dyDescent="0.35">
      <c r="A36" t="s">
        <v>280</v>
      </c>
      <c r="C36" s="36">
        <f>J92*(1+C35)</f>
        <v>1956830777.8654363</v>
      </c>
    </row>
    <row r="37" spans="1:10" x14ac:dyDescent="0.35">
      <c r="A37" t="s">
        <v>241</v>
      </c>
      <c r="C37" s="28">
        <f>C36/(C32-C35)</f>
        <v>45621803033.486435</v>
      </c>
    </row>
    <row r="38" spans="1:10" x14ac:dyDescent="0.35">
      <c r="A38" t="s">
        <v>281</v>
      </c>
      <c r="C38" s="28">
        <f>C37/(1+C32)^8</f>
        <v>26974433072.565186</v>
      </c>
    </row>
    <row r="40" spans="1:10" x14ac:dyDescent="0.35">
      <c r="A40" s="23" t="s">
        <v>242</v>
      </c>
      <c r="B40" s="24"/>
      <c r="C40" s="24"/>
      <c r="D40" s="24"/>
      <c r="E40" s="24"/>
      <c r="F40" s="24"/>
      <c r="G40" s="24"/>
    </row>
    <row r="41" spans="1:10" x14ac:dyDescent="0.35">
      <c r="C41" s="22">
        <v>2026</v>
      </c>
      <c r="D41" s="22">
        <v>2027</v>
      </c>
      <c r="E41" s="22">
        <v>2028</v>
      </c>
      <c r="F41" s="22">
        <v>2029</v>
      </c>
      <c r="G41" s="22">
        <v>2030</v>
      </c>
      <c r="H41" s="22">
        <v>2031</v>
      </c>
      <c r="I41" s="22">
        <v>2032</v>
      </c>
      <c r="J41" s="22">
        <v>2033</v>
      </c>
    </row>
    <row r="42" spans="1:10" x14ac:dyDescent="0.35">
      <c r="A42" t="s">
        <v>243</v>
      </c>
      <c r="C42" s="60">
        <v>1</v>
      </c>
      <c r="D42" s="60">
        <v>2</v>
      </c>
      <c r="E42" s="60">
        <v>3</v>
      </c>
      <c r="F42" s="60">
        <v>4</v>
      </c>
      <c r="G42" s="60">
        <v>5</v>
      </c>
      <c r="H42" s="60">
        <v>6</v>
      </c>
      <c r="I42" s="60">
        <v>7</v>
      </c>
      <c r="J42" s="60">
        <v>8</v>
      </c>
    </row>
    <row r="43" spans="1:10" x14ac:dyDescent="0.35">
      <c r="A43" t="s">
        <v>244</v>
      </c>
      <c r="C43" s="61">
        <f>1/(1+$C$32)^C42</f>
        <v>0.93642389045852592</v>
      </c>
      <c r="D43" s="61">
        <f>1/(1+$C$32)^D42</f>
        <v>0.87688970262148136</v>
      </c>
      <c r="E43" s="61">
        <f>1/(1+$C$32)^E42</f>
        <v>0.8211404668318274</v>
      </c>
      <c r="F43" s="61">
        <f>1/(1+$C$32)^F42</f>
        <v>0.76893555056358998</v>
      </c>
      <c r="G43" s="61">
        <f>1/(1+$C$32)^G42</f>
        <v>0.72004961977062543</v>
      </c>
      <c r="H43" s="61">
        <f>1/(1+$C$32)^H42</f>
        <v>0.67427166626879143</v>
      </c>
      <c r="I43" s="61">
        <f>1/(1+$C$32)^I42</f>
        <v>0.63140409695337452</v>
      </c>
      <c r="J43" s="61">
        <f>1/(1+$C$32)^J42</f>
        <v>0.59126188092053122</v>
      </c>
    </row>
    <row r="44" spans="1:10" x14ac:dyDescent="0.35">
      <c r="A44" s="17" t="s">
        <v>245</v>
      </c>
      <c r="C44" s="28">
        <f>C15*C43</f>
        <v>-1209745680.2135632</v>
      </c>
      <c r="D44" s="28">
        <f>D15*D43</f>
        <v>-974137840.84626186</v>
      </c>
      <c r="E44" s="28">
        <f>E15*E43</f>
        <v>299261714.49314618</v>
      </c>
      <c r="F44" s="28">
        <f>F15*F43</f>
        <v>721277399.48010147</v>
      </c>
      <c r="G44" s="28">
        <f>G15*G43</f>
        <v>999849455.3656584</v>
      </c>
      <c r="H44" s="28">
        <f>H92*H43</f>
        <v>672029662.00894594</v>
      </c>
      <c r="I44" s="28">
        <f>I92*I43</f>
        <v>988066374.55838716</v>
      </c>
      <c r="J44" s="28">
        <f>J92*J43</f>
        <v>1128779947.6721017</v>
      </c>
    </row>
    <row r="46" spans="1:10" x14ac:dyDescent="0.35">
      <c r="A46" s="23" t="s">
        <v>246</v>
      </c>
      <c r="B46" s="24"/>
      <c r="C46" s="24"/>
    </row>
    <row r="47" spans="1:10" x14ac:dyDescent="0.35">
      <c r="A47" t="s">
        <v>282</v>
      </c>
      <c r="C47" s="36">
        <f>SUM(C44:J44)</f>
        <v>2625381032.5185156</v>
      </c>
    </row>
    <row r="48" spans="1:10" x14ac:dyDescent="0.35">
      <c r="A48" t="s">
        <v>258</v>
      </c>
      <c r="C48" s="36">
        <f>C38</f>
        <v>26974433072.565186</v>
      </c>
    </row>
    <row r="49" spans="1:7" x14ac:dyDescent="0.35">
      <c r="A49" s="63" t="s">
        <v>247</v>
      </c>
      <c r="C49" s="46">
        <f>C47+C48</f>
        <v>29599814105.083702</v>
      </c>
    </row>
    <row r="50" spans="1:7" x14ac:dyDescent="0.35">
      <c r="A50" t="s">
        <v>248</v>
      </c>
      <c r="C50" s="36">
        <f>-C23</f>
        <v>-3223136469</v>
      </c>
    </row>
    <row r="51" spans="1:7" x14ac:dyDescent="0.35">
      <c r="A51" t="s">
        <v>249</v>
      </c>
      <c r="C51" s="25">
        <f>-Bilan!B29</f>
        <v>-72033450</v>
      </c>
    </row>
    <row r="52" spans="1:7" x14ac:dyDescent="0.35">
      <c r="A52" s="63" t="s">
        <v>250</v>
      </c>
      <c r="C52" s="46">
        <f>C49+C50+C51</f>
        <v>26304644186.083702</v>
      </c>
    </row>
    <row r="53" spans="1:7" x14ac:dyDescent="0.35">
      <c r="A53" t="s">
        <v>251</v>
      </c>
      <c r="C53" s="64">
        <v>10</v>
      </c>
    </row>
    <row r="54" spans="1:7" x14ac:dyDescent="0.35">
      <c r="A54" t="s">
        <v>252</v>
      </c>
      <c r="C54" s="65">
        <f>'Donnees historiques'!D63/C53</f>
        <v>14159207</v>
      </c>
    </row>
    <row r="55" spans="1:7" x14ac:dyDescent="0.35">
      <c r="A55" s="66" t="s">
        <v>253</v>
      </c>
      <c r="C55" s="67">
        <f>C52/C54</f>
        <v>1857.7766527520716</v>
      </c>
    </row>
    <row r="56" spans="1:7" x14ac:dyDescent="0.35">
      <c r="A56" t="s">
        <v>254</v>
      </c>
      <c r="C56" s="68">
        <v>1170</v>
      </c>
    </row>
    <row r="57" spans="1:7" x14ac:dyDescent="0.35">
      <c r="A57" t="s">
        <v>255</v>
      </c>
      <c r="C57" s="69">
        <f>C55/C56-1</f>
        <v>0.58784329295048865</v>
      </c>
    </row>
    <row r="58" spans="1:7" x14ac:dyDescent="0.35">
      <c r="A58" s="23" t="s">
        <v>256</v>
      </c>
      <c r="B58" s="24"/>
      <c r="C58" s="24"/>
      <c r="D58" s="24"/>
      <c r="E58" s="24"/>
      <c r="F58" s="24"/>
      <c r="G58" s="24"/>
    </row>
    <row r="59" spans="1:7" x14ac:dyDescent="0.35">
      <c r="A59" s="19" t="s">
        <v>257</v>
      </c>
      <c r="B59" s="70"/>
      <c r="C59" s="72">
        <f>$C$35-0.01</f>
        <v>1.5000000000000001E-2</v>
      </c>
      <c r="D59" s="72">
        <f>$C$35-0.005</f>
        <v>0.02</v>
      </c>
      <c r="E59" s="72">
        <f>$C$35</f>
        <v>2.5000000000000001E-2</v>
      </c>
      <c r="F59" s="72">
        <f>$C$35+0.005</f>
        <v>3.0000000000000002E-2</v>
      </c>
      <c r="G59" s="72">
        <f>$C$35+0.01</f>
        <v>3.5000000000000003E-2</v>
      </c>
    </row>
    <row r="60" spans="1:7" x14ac:dyDescent="0.35">
      <c r="B60" s="71">
        <f>$C$32-0.01</f>
        <v>5.7892447201815349E-2</v>
      </c>
      <c r="C60" s="73">
        <f>($C$15/(1+$B60)^1+$D$15/(1+$B60)^2+$E$15/(1+$B60)^3+$F$15/(1+$B60)^4+$G$15/(1+$B60)^5+$H$92/(1+$B60)^6+$I$92/(1+$B60)^7+$J$92/(1+$B60)^8+($J$92*(1+C$59)/($B60-C$59))/(1+$B60)^8+$C$50+$C$51)/$C$54</f>
        <v>2004.2453939616635</v>
      </c>
      <c r="D60" s="73">
        <f t="shared" ref="D60:G60" si="0">($C$15/(1+$B60)^1+$D$15/(1+$B60)^2+$E$15/(1+$B60)^3+$F$15/(1+$B60)^4+$G$15/(1+$B60)^5+$H$92/(1+$B60)^6+$I$92/(1+$B60)^7+$J$92/(1+$B60)^8+($J$92*(1+D$59)/($B60-D$59))/(1+$B60)^8+$C$50+$C$51)/$C$54</f>
        <v>2283.9736794449714</v>
      </c>
      <c r="E60" s="73">
        <f t="shared" si="0"/>
        <v>2648.7452831608821</v>
      </c>
      <c r="F60" s="73">
        <f t="shared" si="0"/>
        <v>3144.294800007403</v>
      </c>
      <c r="G60" s="73">
        <f t="shared" si="0"/>
        <v>3856.312880689783</v>
      </c>
    </row>
    <row r="61" spans="1:7" x14ac:dyDescent="0.35">
      <c r="B61" s="71">
        <f>$C$32-0.005</f>
        <v>6.2892447201815346E-2</v>
      </c>
      <c r="C61" s="73">
        <f t="shared" ref="C61:G64" si="1">($C$15/(1+$B61)^1+$D$15/(1+$B61)^2+$E$15/(1+$B61)^3+$F$15/(1+$B61)^4+$G$15/(1+$B61)^5+$H$92/(1+$B61)^6+$I$92/(1+$B61)^7+$J$92/(1+$B61)^8+($J$92*(1+C$59)/($B61-C$59))/(1+$B61)^8+$C$50+$C$51)/$C$54</f>
        <v>1715.5058728267434</v>
      </c>
      <c r="D61" s="73">
        <f t="shared" si="1"/>
        <v>1929.6407343436479</v>
      </c>
      <c r="E61" s="73">
        <f t="shared" si="1"/>
        <v>2200.28682100693</v>
      </c>
      <c r="F61" s="73">
        <f t="shared" si="1"/>
        <v>2553.2150452693713</v>
      </c>
      <c r="G61" s="73">
        <f t="shared" si="1"/>
        <v>3032.675094333285</v>
      </c>
    </row>
    <row r="62" spans="1:7" x14ac:dyDescent="0.35">
      <c r="B62" s="71">
        <f>$C$32</f>
        <v>6.7892447201815351E-2</v>
      </c>
      <c r="C62" s="73">
        <f t="shared" si="1"/>
        <v>1482.5243351662291</v>
      </c>
      <c r="D62" s="73">
        <f t="shared" si="1"/>
        <v>1650.5622112804353</v>
      </c>
      <c r="E62" s="73">
        <f t="shared" si="1"/>
        <v>1857.7766527520716</v>
      </c>
      <c r="F62" s="73">
        <f t="shared" si="1"/>
        <v>2119.6759870647575</v>
      </c>
      <c r="G62" s="73">
        <f t="shared" si="1"/>
        <v>2461.1982611683839</v>
      </c>
    </row>
    <row r="63" spans="1:7" x14ac:dyDescent="0.35">
      <c r="B63" s="71">
        <f>$C$32+0.005</f>
        <v>7.2892447201815355E-2</v>
      </c>
      <c r="C63" s="73">
        <f t="shared" si="1"/>
        <v>1290.8198620883475</v>
      </c>
      <c r="D63" s="73">
        <f t="shared" si="1"/>
        <v>1425.3599146258246</v>
      </c>
      <c r="E63" s="73">
        <f t="shared" si="1"/>
        <v>1587.9920903263824</v>
      </c>
      <c r="F63" s="73">
        <f t="shared" si="1"/>
        <v>1788.5405394760514</v>
      </c>
      <c r="G63" s="73">
        <f t="shared" si="1"/>
        <v>2042.0146938675982</v>
      </c>
    </row>
    <row r="64" spans="1:7" x14ac:dyDescent="0.35">
      <c r="B64" s="71">
        <f>$C$32+0.01</f>
        <v>7.7892447201815346E-2</v>
      </c>
      <c r="C64" s="73">
        <f t="shared" si="1"/>
        <v>1130.5177340178977</v>
      </c>
      <c r="D64" s="73">
        <f t="shared" si="1"/>
        <v>1240.0424346035497</v>
      </c>
      <c r="E64" s="73">
        <f t="shared" si="1"/>
        <v>1370.2741938298716</v>
      </c>
      <c r="F64" s="73">
        <f t="shared" si="1"/>
        <v>1527.6984994461359</v>
      </c>
      <c r="G64" s="73">
        <f t="shared" si="1"/>
        <v>1721.8249090192012</v>
      </c>
    </row>
    <row r="67" spans="1:10" x14ac:dyDescent="0.35">
      <c r="A67" s="30" t="s">
        <v>286</v>
      </c>
    </row>
    <row r="68" spans="1:10" x14ac:dyDescent="0.35">
      <c r="A68" s="33" t="s">
        <v>287</v>
      </c>
    </row>
    <row r="69" spans="1:10" x14ac:dyDescent="0.35">
      <c r="A69" s="48" t="s">
        <v>288</v>
      </c>
    </row>
    <row r="70" spans="1:10" x14ac:dyDescent="0.35">
      <c r="A70" s="15" t="s">
        <v>289</v>
      </c>
    </row>
    <row r="71" spans="1:10" x14ac:dyDescent="0.35">
      <c r="A71" s="15" t="s">
        <v>292</v>
      </c>
    </row>
    <row r="72" spans="1:10" x14ac:dyDescent="0.35">
      <c r="A72" s="48" t="s">
        <v>293</v>
      </c>
    </row>
    <row r="73" spans="1:10" x14ac:dyDescent="0.35">
      <c r="A73" s="15" t="s">
        <v>290</v>
      </c>
    </row>
    <row r="74" spans="1:10" x14ac:dyDescent="0.35">
      <c r="A74" s="16" t="s">
        <v>291</v>
      </c>
    </row>
    <row r="76" spans="1:10" x14ac:dyDescent="0.35">
      <c r="A76" s="74" t="s">
        <v>264</v>
      </c>
      <c r="B76" s="24"/>
    </row>
    <row r="77" spans="1:10" x14ac:dyDescent="0.35">
      <c r="H77" s="31">
        <v>2031</v>
      </c>
      <c r="I77" s="31">
        <v>2032</v>
      </c>
      <c r="J77" s="31">
        <v>2033</v>
      </c>
    </row>
    <row r="78" spans="1:10" x14ac:dyDescent="0.35">
      <c r="A78" t="s">
        <v>265</v>
      </c>
      <c r="H78" s="75">
        <v>0.12</v>
      </c>
      <c r="I78" s="75">
        <v>0.08</v>
      </c>
      <c r="J78" s="75">
        <v>0.05</v>
      </c>
    </row>
    <row r="79" spans="1:10" x14ac:dyDescent="0.35">
      <c r="A79" t="s">
        <v>266</v>
      </c>
      <c r="H79" s="36">
        <f>'Compte de résultat'!G6*(1+H78)</f>
        <v>14140774031.204706</v>
      </c>
      <c r="I79" s="36">
        <f>H79*(1+I78)</f>
        <v>15272035953.701084</v>
      </c>
      <c r="J79" s="36">
        <f>I79*(1+J78)</f>
        <v>16035637751.386139</v>
      </c>
    </row>
    <row r="80" spans="1:10" x14ac:dyDescent="0.35">
      <c r="A80" t="s">
        <v>267</v>
      </c>
      <c r="H80" s="76">
        <f>Hypothèses!I18</f>
        <v>0.30499999999999999</v>
      </c>
      <c r="I80" s="77">
        <f>H80</f>
        <v>0.30499999999999999</v>
      </c>
      <c r="J80" s="77">
        <f>I80</f>
        <v>0.30499999999999999</v>
      </c>
    </row>
    <row r="81" spans="1:10" x14ac:dyDescent="0.35">
      <c r="A81" t="s">
        <v>268</v>
      </c>
      <c r="H81" s="36">
        <f>H79*H80</f>
        <v>4312936079.5174351</v>
      </c>
      <c r="I81" s="36">
        <f>I79*I80</f>
        <v>4657970965.8788309</v>
      </c>
      <c r="J81" s="36">
        <f>J79*J80</f>
        <v>4890869514.1727724</v>
      </c>
    </row>
    <row r="82" spans="1:10" x14ac:dyDescent="0.35">
      <c r="A82" t="s">
        <v>269</v>
      </c>
      <c r="H82" s="25">
        <f>-'Compte de résultat'!$C$56*H79</f>
        <v>1395262339.5121868</v>
      </c>
      <c r="I82" s="25">
        <f>-'Compte de résultat'!$C$56*I79</f>
        <v>1506883326.6731617</v>
      </c>
      <c r="J82" s="25">
        <f>-'Compte de résultat'!$C$56*J79</f>
        <v>1582227493.00682</v>
      </c>
    </row>
    <row r="83" spans="1:10" x14ac:dyDescent="0.35">
      <c r="A83" t="s">
        <v>270</v>
      </c>
      <c r="H83" s="36">
        <f>H81-H82</f>
        <v>2917673740.0052481</v>
      </c>
      <c r="I83" s="36">
        <f>I81-I82</f>
        <v>3151087639.2056694</v>
      </c>
      <c r="J83" s="36">
        <f>J81-J82</f>
        <v>3308642021.1659527</v>
      </c>
    </row>
    <row r="84" spans="1:10" x14ac:dyDescent="0.35">
      <c r="A84" t="s">
        <v>271</v>
      </c>
      <c r="H84" s="76">
        <f>Hypothèses!I40</f>
        <v>0.33</v>
      </c>
      <c r="I84" s="77">
        <f>H84</f>
        <v>0.33</v>
      </c>
      <c r="J84" s="77">
        <f>I84</f>
        <v>0.33</v>
      </c>
    </row>
    <row r="85" spans="1:10" x14ac:dyDescent="0.35">
      <c r="A85" t="s">
        <v>272</v>
      </c>
      <c r="H85" s="36">
        <f>-H83*H84</f>
        <v>-962832334.20173192</v>
      </c>
      <c r="I85" s="36">
        <f>-I83*I84</f>
        <v>-1039858920.937871</v>
      </c>
      <c r="J85" s="36">
        <f>-J83*J84</f>
        <v>-1091851866.9847643</v>
      </c>
    </row>
    <row r="86" spans="1:10" x14ac:dyDescent="0.35">
      <c r="A86" t="s">
        <v>273</v>
      </c>
      <c r="H86" s="28">
        <f>H83+H85</f>
        <v>1954841405.8035161</v>
      </c>
      <c r="I86" s="28">
        <f>I83+I85</f>
        <v>2111228718.2677984</v>
      </c>
      <c r="J86" s="28">
        <f>J83+J85</f>
        <v>2216790154.1811886</v>
      </c>
    </row>
    <row r="87" spans="1:10" x14ac:dyDescent="0.35">
      <c r="A87" t="s">
        <v>274</v>
      </c>
      <c r="H87" s="75">
        <v>0.16</v>
      </c>
      <c r="I87" s="75">
        <v>0.13</v>
      </c>
      <c r="J87" s="75">
        <v>0.115</v>
      </c>
    </row>
    <row r="88" spans="1:10" x14ac:dyDescent="0.35">
      <c r="A88" t="s">
        <v>275</v>
      </c>
      <c r="H88" s="36">
        <f>H79*H87</f>
        <v>2262523844.992753</v>
      </c>
      <c r="I88" s="36">
        <f>I79*I87</f>
        <v>1985364673.9811411</v>
      </c>
      <c r="J88" s="36">
        <f>J79*J87</f>
        <v>1844098341.4094059</v>
      </c>
    </row>
    <row r="89" spans="1:10" x14ac:dyDescent="0.35">
      <c r="A89" t="s">
        <v>276</v>
      </c>
      <c r="H89" s="76">
        <f>Hypothèses!$I$25</f>
        <v>0.06</v>
      </c>
      <c r="I89" s="77">
        <f>H89</f>
        <v>0.06</v>
      </c>
      <c r="J89" s="77">
        <f>I89</f>
        <v>0.06</v>
      </c>
    </row>
    <row r="90" spans="1:10" x14ac:dyDescent="0.35">
      <c r="A90" t="s">
        <v>277</v>
      </c>
      <c r="H90" s="36">
        <f>H79*H89</f>
        <v>848446441.87228239</v>
      </c>
      <c r="I90" s="36">
        <f>I79*I89</f>
        <v>916322157.22206497</v>
      </c>
      <c r="J90" s="36">
        <f>J79*J89</f>
        <v>962138265.08316827</v>
      </c>
    </row>
    <row r="91" spans="1:10" x14ac:dyDescent="0.35">
      <c r="A91" t="s">
        <v>278</v>
      </c>
      <c r="H91" s="25">
        <f>H90-Bilan!$G$57</f>
        <v>90904975.914887547</v>
      </c>
      <c r="I91" s="36">
        <f>I90-H90</f>
        <v>67875715.349782586</v>
      </c>
      <c r="J91" s="36">
        <f>J90-I90</f>
        <v>45816107.861103296</v>
      </c>
    </row>
    <row r="92" spans="1:10" x14ac:dyDescent="0.35">
      <c r="A92" s="18" t="s">
        <v>279</v>
      </c>
      <c r="H92" s="46">
        <f>H86+H82-H88-H91</f>
        <v>996674924.40806234</v>
      </c>
      <c r="I92" s="46">
        <f>I86+I82-I88-I91</f>
        <v>1564871655.6100364</v>
      </c>
      <c r="J92" s="46">
        <f>J86+J82-J88-J91</f>
        <v>1909103197.9174991</v>
      </c>
    </row>
    <row r="94" spans="1:10" x14ac:dyDescent="0.35">
      <c r="A94" s="78" t="s">
        <v>283</v>
      </c>
    </row>
    <row r="95" spans="1:10" x14ac:dyDescent="0.35">
      <c r="A95" t="s">
        <v>284</v>
      </c>
      <c r="C95" s="79">
        <f>((SUM(C44:G44)+(G15*(1+C35)/(C32-C35))/(1+C32)^5)+C50+C51)/C54</f>
        <v>1443.2106730502469</v>
      </c>
    </row>
    <row r="96" spans="1:10" x14ac:dyDescent="0.35">
      <c r="A96" t="s">
        <v>285</v>
      </c>
      <c r="C96" s="79">
        <f>C55</f>
        <v>1857.7766527520716</v>
      </c>
    </row>
  </sheetData>
  <conditionalFormatting sqref="C60:G64">
    <cfRule type="expression" dxfId="3" priority="3">
      <formula>C60&gt;$C$56</formula>
    </cfRule>
    <cfRule type="expression" dxfId="4" priority="2">
      <formula>C60&gt;$C$56</formula>
    </cfRule>
    <cfRule type="expression" dxfId="2" priority="1">
      <formula>C60&lt;$C$56</formula>
    </cfRule>
  </conditionalFormatting>
  <pageMargins left="0.41666666666666669" right="0.41666666666666669" top="0.69444444444444442" bottom="0.55555555555555558" header="0.3" footer="0.3"/>
  <pageSetup scale="56" fitToHeight="0" orientation="landscape" r:id="rId1"/>
  <headerFooter>
    <oddHeader>&amp;CAKDITAL S.A. — DCF (Discounted Cash Flow)</oddHeader>
    <oddFooter>&amp;CPage &amp;P sur &amp;N&amp;R&amp;D</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D1C5-079B-453C-9189-5F67D5600943}">
  <sheetPr>
    <pageSetUpPr fitToPage="1"/>
  </sheetPr>
  <dimension ref="A1:N42"/>
  <sheetViews>
    <sheetView showGridLines="0" showRowColHeaders="0" zoomScale="50" workbookViewId="0">
      <selection activeCell="U4" sqref="U4"/>
    </sheetView>
  </sheetViews>
  <sheetFormatPr defaultRowHeight="14.5" x14ac:dyDescent="0.35"/>
  <cols>
    <col min="1" max="1" width="47.26953125" customWidth="1"/>
    <col min="2" max="2" width="3.6328125" customWidth="1"/>
    <col min="3" max="3" width="23.6328125" customWidth="1"/>
    <col min="5" max="5" width="34.54296875" customWidth="1"/>
    <col min="6" max="14" width="15.453125" customWidth="1"/>
  </cols>
  <sheetData>
    <row r="1" spans="1:14" ht="21" x14ac:dyDescent="0.5">
      <c r="A1" s="80" t="s">
        <v>294</v>
      </c>
    </row>
    <row r="2" spans="1:14" x14ac:dyDescent="0.35">
      <c r="A2" s="16" t="s">
        <v>295</v>
      </c>
    </row>
    <row r="4" spans="1:14" x14ac:dyDescent="0.35">
      <c r="A4" s="23" t="s">
        <v>296</v>
      </c>
      <c r="B4" s="24"/>
      <c r="C4" s="24"/>
      <c r="E4" s="23" t="s">
        <v>310</v>
      </c>
      <c r="F4" s="24"/>
      <c r="G4" s="24"/>
      <c r="H4" s="24"/>
      <c r="I4" s="24"/>
      <c r="J4" s="24"/>
      <c r="K4" s="24"/>
      <c r="L4" s="24"/>
      <c r="M4" s="24"/>
      <c r="N4" s="24"/>
    </row>
    <row r="5" spans="1:14" x14ac:dyDescent="0.35">
      <c r="A5" t="s">
        <v>297</v>
      </c>
      <c r="C5" s="81">
        <f>DCF!C56</f>
        <v>1170</v>
      </c>
      <c r="E5" s="17" t="s">
        <v>311</v>
      </c>
      <c r="F5" s="22">
        <v>2023</v>
      </c>
      <c r="G5" s="22">
        <v>2024</v>
      </c>
      <c r="H5" s="22">
        <v>2025</v>
      </c>
      <c r="I5" s="22">
        <v>2026</v>
      </c>
      <c r="J5" s="22">
        <v>2027</v>
      </c>
      <c r="K5" s="22">
        <v>2028</v>
      </c>
      <c r="L5" s="22">
        <v>2029</v>
      </c>
      <c r="M5" s="22">
        <v>2030</v>
      </c>
      <c r="N5" s="22">
        <v>2033</v>
      </c>
    </row>
    <row r="6" spans="1:14" x14ac:dyDescent="0.35">
      <c r="A6" t="s">
        <v>298</v>
      </c>
      <c r="C6" s="82">
        <f>DCF!C55</f>
        <v>1857.7766527520716</v>
      </c>
      <c r="E6" t="s">
        <v>104</v>
      </c>
      <c r="F6" s="65">
        <f>'Donnees historiques'!B6</f>
        <v>1907329124</v>
      </c>
      <c r="G6" s="65">
        <f>'Donnees historiques'!C6</f>
        <v>2954038793</v>
      </c>
      <c r="H6" s="65">
        <f>'Donnees historiques'!D6</f>
        <v>4413384274</v>
      </c>
      <c r="I6" s="65">
        <f>'Compte de résultat'!C6</f>
        <v>5958068769.9000006</v>
      </c>
      <c r="J6" s="65">
        <f>'Compte de résultat'!D6</f>
        <v>7626328025.4720011</v>
      </c>
      <c r="K6" s="65">
        <f>'Compte de résultat'!E6</f>
        <v>9304120191.0758419</v>
      </c>
      <c r="L6" s="65">
        <f>'Compte de résultat'!F6</f>
        <v>10978861825.469492</v>
      </c>
      <c r="M6" s="65">
        <f>'Compte de résultat'!G6</f>
        <v>12625691099.289915</v>
      </c>
      <c r="N6" s="65">
        <f>DCF!J79</f>
        <v>16035637751.386139</v>
      </c>
    </row>
    <row r="7" spans="1:14" x14ac:dyDescent="0.35">
      <c r="A7" t="s">
        <v>255</v>
      </c>
      <c r="C7" s="83">
        <f>DCF!C57</f>
        <v>0.58784329295048865</v>
      </c>
      <c r="E7" t="s">
        <v>158</v>
      </c>
      <c r="F7" s="77">
        <f>'Compte de résultat'!$B$40*0+('Donnees historiques'!B17-'Donnees historiques'!B14)/'Donnees historiques'!B6</f>
        <v>0.26781831335366324</v>
      </c>
      <c r="G7" s="77">
        <f>('Donnees historiques'!C17-'Donnees historiques'!C14)/'Donnees historiques'!C6</f>
        <v>0.28395720326615226</v>
      </c>
      <c r="H7" s="76">
        <f>'Compte de résultat'!B40</f>
        <v>0.27505692267756515</v>
      </c>
      <c r="I7" s="76">
        <f>'Compte de résultat'!C40</f>
        <v>0.27</v>
      </c>
      <c r="J7" s="76">
        <f>'Compte de résultat'!D40</f>
        <v>0.28000000000000003</v>
      </c>
      <c r="K7" s="76">
        <f>'Compte de résultat'!E40</f>
        <v>0.28999999999999998</v>
      </c>
      <c r="L7" s="76">
        <f>'Compte de résultat'!F40</f>
        <v>0.3</v>
      </c>
      <c r="M7" s="76">
        <f>'Compte de résultat'!G40</f>
        <v>0.30499999999999999</v>
      </c>
      <c r="N7" s="77">
        <f>DCF!J81/DCF!J79</f>
        <v>0.30499999999999999</v>
      </c>
    </row>
    <row r="8" spans="1:14" x14ac:dyDescent="0.35">
      <c r="A8" t="s">
        <v>299</v>
      </c>
      <c r="C8" s="81">
        <f>DCF!C95</f>
        <v>1443.2106730502469</v>
      </c>
    </row>
    <row r="9" spans="1:14" x14ac:dyDescent="0.35">
      <c r="A9" t="s">
        <v>238</v>
      </c>
      <c r="C9" s="84">
        <f>DCF!C32</f>
        <v>6.7892447201815351E-2</v>
      </c>
    </row>
    <row r="10" spans="1:14" x14ac:dyDescent="0.35">
      <c r="A10" t="s">
        <v>300</v>
      </c>
      <c r="C10" s="76">
        <f>DCF!C35</f>
        <v>2.5000000000000001E-2</v>
      </c>
      <c r="E10" s="23" t="s">
        <v>312</v>
      </c>
      <c r="F10" s="24"/>
      <c r="G10" s="24"/>
      <c r="H10" s="24"/>
      <c r="I10" s="24"/>
      <c r="J10" s="24"/>
      <c r="K10" s="24"/>
      <c r="L10" s="24"/>
      <c r="M10" s="24"/>
    </row>
    <row r="11" spans="1:14" x14ac:dyDescent="0.35">
      <c r="A11" t="s">
        <v>301</v>
      </c>
      <c r="C11" s="65">
        <f>DCF!C49</f>
        <v>29599814105.083702</v>
      </c>
      <c r="E11" s="17" t="s">
        <v>311</v>
      </c>
      <c r="F11" s="22">
        <v>2026</v>
      </c>
      <c r="G11" s="22">
        <v>2027</v>
      </c>
      <c r="H11" s="22">
        <v>2028</v>
      </c>
      <c r="I11" s="22">
        <v>2029</v>
      </c>
      <c r="J11" s="22">
        <v>2030</v>
      </c>
      <c r="K11" s="22">
        <v>2031</v>
      </c>
      <c r="L11" s="22">
        <v>2032</v>
      </c>
      <c r="M11" s="22">
        <v>2033</v>
      </c>
    </row>
    <row r="12" spans="1:14" x14ac:dyDescent="0.35">
      <c r="A12" t="s">
        <v>302</v>
      </c>
      <c r="C12" s="65">
        <f>DCF!C52</f>
        <v>26304644186.083702</v>
      </c>
      <c r="E12" t="s">
        <v>313</v>
      </c>
      <c r="F12" s="65">
        <f>DCF!C15</f>
        <v>-1291878274.9350867</v>
      </c>
      <c r="G12" s="65">
        <f>DCF!D15</f>
        <v>-1110901220.4545851</v>
      </c>
      <c r="H12" s="65">
        <f>DCF!E15</f>
        <v>364446433.44369006</v>
      </c>
      <c r="I12" s="65">
        <f>DCF!F15</f>
        <v>938020616.8793242</v>
      </c>
      <c r="J12" s="65">
        <f>DCF!G15</f>
        <v>1388584102.9735761</v>
      </c>
      <c r="K12" s="65">
        <f>DCF!H92</f>
        <v>996674924.40806234</v>
      </c>
      <c r="L12" s="65">
        <f>DCF!I92</f>
        <v>1564871655.6100364</v>
      </c>
      <c r="M12" s="65">
        <f>DCF!J92</f>
        <v>1909103197.9174991</v>
      </c>
    </row>
    <row r="13" spans="1:14" x14ac:dyDescent="0.35">
      <c r="A13" t="s">
        <v>303</v>
      </c>
      <c r="C13" s="65">
        <f>DCF!C54</f>
        <v>14159207</v>
      </c>
    </row>
    <row r="14" spans="1:14" x14ac:dyDescent="0.35">
      <c r="A14" t="s">
        <v>304</v>
      </c>
      <c r="C14" s="65">
        <f>'Donnees historiques'!D6</f>
        <v>4413384274</v>
      </c>
    </row>
    <row r="15" spans="1:14" x14ac:dyDescent="0.35">
      <c r="A15" t="s">
        <v>305</v>
      </c>
      <c r="C15" s="65">
        <f>'Compte de résultat'!G6</f>
        <v>12625691099.289915</v>
      </c>
      <c r="E15" s="23" t="s">
        <v>314</v>
      </c>
      <c r="F15" s="24"/>
      <c r="G15" s="24"/>
      <c r="H15" s="24"/>
    </row>
    <row r="16" spans="1:14" x14ac:dyDescent="0.35">
      <c r="A16" t="s">
        <v>306</v>
      </c>
      <c r="C16" s="77">
        <f>(C15/C14)^(1/5)-1</f>
        <v>0.23394750245346341</v>
      </c>
      <c r="E16" s="17" t="s">
        <v>315</v>
      </c>
      <c r="F16" s="21" t="s">
        <v>316</v>
      </c>
    </row>
    <row r="17" spans="1:6" x14ac:dyDescent="0.35">
      <c r="A17" t="s">
        <v>307</v>
      </c>
      <c r="C17" s="76">
        <f>'Compte de résultat'!B40</f>
        <v>0.27505692267756515</v>
      </c>
      <c r="E17" t="s">
        <v>317</v>
      </c>
      <c r="F17" s="65">
        <f>DCF!C49</f>
        <v>29599814105.083702</v>
      </c>
    </row>
    <row r="18" spans="1:6" x14ac:dyDescent="0.35">
      <c r="A18" t="s">
        <v>308</v>
      </c>
      <c r="C18" s="76">
        <f>'Compte de résultat'!G40</f>
        <v>0.30499999999999999</v>
      </c>
      <c r="E18" t="s">
        <v>318</v>
      </c>
      <c r="F18" s="65">
        <f>-DCF!C23</f>
        <v>-3223136469</v>
      </c>
    </row>
    <row r="19" spans="1:6" x14ac:dyDescent="0.35">
      <c r="A19" t="s">
        <v>309</v>
      </c>
      <c r="C19" s="85">
        <f>(Bilan!G31-Bilan!G21)/Hypothèses!I19</f>
        <v>0.94875119051938106</v>
      </c>
      <c r="E19" t="s">
        <v>319</v>
      </c>
      <c r="F19" s="65">
        <f>DCF!C51</f>
        <v>-72033450</v>
      </c>
    </row>
    <row r="20" spans="1:6" x14ac:dyDescent="0.35">
      <c r="E20" s="62" t="s">
        <v>320</v>
      </c>
      <c r="F20" s="86">
        <f>DCF!C52</f>
        <v>26304644186.083702</v>
      </c>
    </row>
    <row r="40" spans="5:14" x14ac:dyDescent="0.35">
      <c r="E40" s="87" t="s">
        <v>321</v>
      </c>
    </row>
    <row r="41" spans="5:14" x14ac:dyDescent="0.35">
      <c r="F41" s="88">
        <f>F5</f>
        <v>2023</v>
      </c>
      <c r="G41" s="88">
        <f>G5</f>
        <v>2024</v>
      </c>
      <c r="H41" s="88">
        <f>H5</f>
        <v>2025</v>
      </c>
      <c r="I41" s="88">
        <f>I5</f>
        <v>2026</v>
      </c>
      <c r="J41" s="88">
        <f>J5</f>
        <v>2027</v>
      </c>
      <c r="K41" s="88">
        <f>K5</f>
        <v>2028</v>
      </c>
      <c r="L41" s="88">
        <f>L5</f>
        <v>2029</v>
      </c>
      <c r="M41" s="88">
        <f>M5</f>
        <v>2030</v>
      </c>
      <c r="N41" s="88">
        <f>N5</f>
        <v>2033</v>
      </c>
    </row>
    <row r="42" spans="5:14" x14ac:dyDescent="0.35">
      <c r="F42" s="77">
        <f>F7</f>
        <v>0.26781831335366324</v>
      </c>
      <c r="G42" s="77">
        <f>G7</f>
        <v>0.28395720326615226</v>
      </c>
      <c r="H42" s="77">
        <f>H7</f>
        <v>0.27505692267756515</v>
      </c>
      <c r="I42" s="77">
        <f>I7</f>
        <v>0.27</v>
      </c>
      <c r="J42" s="77">
        <f>J7</f>
        <v>0.28000000000000003</v>
      </c>
      <c r="K42" s="77">
        <f>K7</f>
        <v>0.28999999999999998</v>
      </c>
      <c r="L42" s="77">
        <f>L7</f>
        <v>0.3</v>
      </c>
      <c r="M42" s="77">
        <f>M7</f>
        <v>0.30499999999999999</v>
      </c>
      <c r="N42" s="77">
        <f>N7</f>
        <v>0.30499999999999999</v>
      </c>
    </row>
  </sheetData>
  <pageMargins left="0.41666666666666669" right="0.41666666666666669" top="0.69444444444444442" bottom="0.55555555555555558" header="0.3" footer="0.3"/>
  <pageSetup scale="44" fitToHeight="0" orientation="landscape" r:id="rId1"/>
  <headerFooter>
    <oddHeader>&amp;CAKDITAL S.A. — Tableau de bord</oddHeader>
    <oddFooter>&amp;CPage &amp;P sur &amp;N&amp;R&amp;D</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Donnees historiques</vt:lpstr>
      <vt:lpstr>Hypothèses</vt:lpstr>
      <vt:lpstr>Compte de résultat</vt:lpstr>
      <vt:lpstr>Bilan</vt:lpstr>
      <vt:lpstr>TFT</vt:lpstr>
      <vt:lpstr>DCF</vt:lpstr>
      <vt:lpstr>Dashboard</vt:lpstr>
      <vt:lpstr>Bilan!Print_Area</vt:lpstr>
      <vt:lpstr>'Compte de résultat'!Print_Area</vt:lpstr>
      <vt:lpstr>Dashboard!Print_Area</vt:lpstr>
      <vt:lpstr>DCF!Print_Area</vt:lpstr>
      <vt:lpstr>'Donnees historiques'!Print_Area</vt:lpstr>
      <vt:lpstr>Hypothèses!Print_Area</vt:lpstr>
      <vt:lpstr>TFT!Print_Area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Yirviel Somé</cp:lastModifiedBy>
  <cp:revision>0</cp:revision>
  <cp:lastPrinted>2026-07-14T10:25:24Z</cp:lastPrinted>
  <dcterms:created xsi:type="dcterms:W3CDTF">2026-07-13T21:05:40Z</dcterms:created>
  <dcterms:modified xsi:type="dcterms:W3CDTF">2026-07-14T10:33:41Z</dcterms:modified>
  <cp:category/>
  <dc:language>en-US</dc:language>
</cp:coreProperties>
</file>